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E18A391-298B-4059-8F29-573E35B173A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Inventory Dashboard" sheetId="1" r:id="rId1"/>
    <sheet name="Stok Barang" sheetId="2" r:id="rId2"/>
    <sheet name="Mutasi Barang" sheetId="3" r:id="rId3"/>
  </sheets>
  <definedNames>
    <definedName name="_xlnm._FilterDatabase" localSheetId="2" hidden="1">'Mutasi Barang'!$A$2:$J$51</definedName>
    <definedName name="_xlnm._FilterDatabase" localSheetId="1" hidden="1">'Stok Barang'!$A$2:$L$22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2" i="3" l="1"/>
  <c r="F52" i="3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I4" i="3" s="1"/>
  <c r="H3" i="3"/>
  <c r="I3" i="3" s="1"/>
  <c r="G23" i="2"/>
  <c r="F23" i="2"/>
  <c r="E23" i="2"/>
  <c r="L22" i="2"/>
  <c r="H22" i="2"/>
  <c r="J22" i="2" s="1"/>
  <c r="C18" i="1" s="1"/>
  <c r="J21" i="2"/>
  <c r="H21" i="2"/>
  <c r="L21" i="2" s="1"/>
  <c r="H20" i="2"/>
  <c r="L20" i="2" s="1"/>
  <c r="J19" i="2"/>
  <c r="H19" i="2"/>
  <c r="L19" i="2" s="1"/>
  <c r="H18" i="2"/>
  <c r="L18" i="2" s="1"/>
  <c r="L17" i="2"/>
  <c r="J17" i="2"/>
  <c r="H17" i="2"/>
  <c r="H16" i="2"/>
  <c r="L16" i="2" s="1"/>
  <c r="H15" i="2"/>
  <c r="J15" i="2" s="1"/>
  <c r="L14" i="2"/>
  <c r="H14" i="2"/>
  <c r="J14" i="2" s="1"/>
  <c r="C15" i="1" s="1"/>
  <c r="J13" i="2"/>
  <c r="H13" i="2"/>
  <c r="L13" i="2" s="1"/>
  <c r="H12" i="2"/>
  <c r="L12" i="2" s="1"/>
  <c r="J11" i="2"/>
  <c r="H11" i="2"/>
  <c r="L11" i="2" s="1"/>
  <c r="H10" i="2"/>
  <c r="L10" i="2" s="1"/>
  <c r="L9" i="2"/>
  <c r="J9" i="2"/>
  <c r="H9" i="2"/>
  <c r="H8" i="2"/>
  <c r="L8" i="2" s="1"/>
  <c r="H7" i="2"/>
  <c r="J7" i="2" s="1"/>
  <c r="L6" i="2"/>
  <c r="H6" i="2"/>
  <c r="J6" i="2" s="1"/>
  <c r="J5" i="2"/>
  <c r="H5" i="2"/>
  <c r="L5" i="2" s="1"/>
  <c r="H4" i="2"/>
  <c r="L4" i="2" s="1"/>
  <c r="J3" i="2"/>
  <c r="H3" i="2"/>
  <c r="L3" i="2" s="1"/>
  <c r="B18" i="1"/>
  <c r="B17" i="1"/>
  <c r="B16" i="1"/>
  <c r="B15" i="1"/>
  <c r="J14" i="1"/>
  <c r="B14" i="1"/>
  <c r="J13" i="1"/>
  <c r="B13" i="1"/>
  <c r="A7" i="1"/>
  <c r="J15" i="1" l="1"/>
  <c r="B19" i="1"/>
  <c r="K14" i="1"/>
  <c r="L7" i="1"/>
  <c r="D15" i="1"/>
  <c r="I52" i="3"/>
  <c r="K13" i="1"/>
  <c r="K15" i="1" s="1"/>
  <c r="D18" i="1"/>
  <c r="L7" i="2"/>
  <c r="I7" i="1" s="1"/>
  <c r="J10" i="2"/>
  <c r="L15" i="2"/>
  <c r="J18" i="2"/>
  <c r="H23" i="2"/>
  <c r="J8" i="2"/>
  <c r="C14" i="1" s="1"/>
  <c r="D14" i="1" s="1"/>
  <c r="J16" i="2"/>
  <c r="C16" i="1" s="1"/>
  <c r="D16" i="1" s="1"/>
  <c r="J4" i="2"/>
  <c r="J12" i="2"/>
  <c r="J20" i="2"/>
  <c r="C17" i="1" s="1"/>
  <c r="D17" i="1" s="1"/>
  <c r="J23" i="2" l="1"/>
  <c r="E7" i="1"/>
  <c r="C13" i="1"/>
  <c r="C19" i="1" l="1"/>
  <c r="D19" i="1" s="1"/>
  <c r="D13" i="1"/>
</calcChain>
</file>

<file path=xl/sharedStrings.xml><?xml version="1.0" encoding="utf-8"?>
<sst xmlns="http://schemas.openxmlformats.org/spreadsheetml/2006/main" count="481" uniqueCount="171">
  <si>
    <t>Stok Barang · Mutasi Barang April 2026  ·  Formula: SUMIF, COUNTIF, VLOOKUP, IF  ·  Rifky Mardiansyah</t>
  </si>
  <si>
    <t>Kategori</t>
  </si>
  <si>
    <t>Jenis Barang</t>
  </si>
  <si>
    <t>Total Nilai Stok (Rp)</t>
  </si>
  <si>
    <t>Rata-rata Nilai</t>
  </si>
  <si>
    <t>Jenis Mutasi</t>
  </si>
  <si>
    <t>Jumlah Transaksi</t>
  </si>
  <si>
    <t>Total Nilai (Rp)</t>
  </si>
  <si>
    <t>ATK</t>
  </si>
  <si>
    <t>Barang Masuk</t>
  </si>
  <si>
    <t>Elektronik</t>
  </si>
  <si>
    <t>Barang Keluar</t>
  </si>
  <si>
    <t>Kebersihan</t>
  </si>
  <si>
    <t>TOTAL</t>
  </si>
  <si>
    <t>Dapur</t>
  </si>
  <si>
    <t>Furniture</t>
  </si>
  <si>
    <t>Keamanan</t>
  </si>
  <si>
    <t>Kode Barang</t>
  </si>
  <si>
    <t>Nama Barang</t>
  </si>
  <si>
    <t>Satuan</t>
  </si>
  <si>
    <t>Stok Awal</t>
  </si>
  <si>
    <t>Masuk</t>
  </si>
  <si>
    <t>Keluar</t>
  </si>
  <si>
    <t>Stok Akhir</t>
  </si>
  <si>
    <t>Harga Satuan (Rp)</t>
  </si>
  <si>
    <t>Nilai Stok (Rp)</t>
  </si>
  <si>
    <t>Minimum Stok</t>
  </si>
  <si>
    <t>Status Stok</t>
  </si>
  <si>
    <t>BRG-001</t>
  </si>
  <si>
    <t>Kertas HVS A4</t>
  </si>
  <si>
    <t>Rim</t>
  </si>
  <si>
    <t>BRG-002</t>
  </si>
  <si>
    <t>Pulpen Ballpoint</t>
  </si>
  <si>
    <t>Lusin</t>
  </si>
  <si>
    <t>BRG-003</t>
  </si>
  <si>
    <t>Staples No.10</t>
  </si>
  <si>
    <t>Box</t>
  </si>
  <si>
    <t>BRG-004</t>
  </si>
  <si>
    <t>Amplop Coklat Besar</t>
  </si>
  <si>
    <t>Pack</t>
  </si>
  <si>
    <t>BRG-005</t>
  </si>
  <si>
    <t>Map Plastik</t>
  </si>
  <si>
    <t>BRG-006</t>
  </si>
  <si>
    <t>Flashdisk 32GB</t>
  </si>
  <si>
    <t>Unit</t>
  </si>
  <si>
    <t>BRG-007</t>
  </si>
  <si>
    <t>Mouse Wireless</t>
  </si>
  <si>
    <t>BRG-008</t>
  </si>
  <si>
    <t>Keyboard USB</t>
  </si>
  <si>
    <t>BRG-009</t>
  </si>
  <si>
    <t>Tinta Printer Hitam</t>
  </si>
  <si>
    <t>Botol</t>
  </si>
  <si>
    <t>BRG-010</t>
  </si>
  <si>
    <t>Tinta Printer Warna</t>
  </si>
  <si>
    <t>BRG-011</t>
  </si>
  <si>
    <t>Sabun Cuci Tangan</t>
  </si>
  <si>
    <t>BRG-012</t>
  </si>
  <si>
    <t>Tisu Kotak</t>
  </si>
  <si>
    <t>BRG-013</t>
  </si>
  <si>
    <t>Kantong Sampah Besar</t>
  </si>
  <si>
    <t>Roll</t>
  </si>
  <si>
    <t>BRG-014</t>
  </si>
  <si>
    <t>Gelas Plastik</t>
  </si>
  <si>
    <t>BRG-015</t>
  </si>
  <si>
    <t>Kopi Sachet</t>
  </si>
  <si>
    <t>BRG-016</t>
  </si>
  <si>
    <t>Teh Celup</t>
  </si>
  <si>
    <t>BRG-017</t>
  </si>
  <si>
    <t>Kursi Plastik</t>
  </si>
  <si>
    <t>BRG-018</t>
  </si>
  <si>
    <t>Meja Lipat</t>
  </si>
  <si>
    <t>BRG-019</t>
  </si>
  <si>
    <t>Gembok Kombinasi</t>
  </si>
  <si>
    <t>BRG-020</t>
  </si>
  <si>
    <t>ID Card Holder</t>
  </si>
  <si>
    <t>—</t>
  </si>
  <si>
    <t>No. Mutasi</t>
  </si>
  <si>
    <t>Tanggal</t>
  </si>
  <si>
    <t>Jumlah</t>
  </si>
  <si>
    <t>Keterangan</t>
  </si>
  <si>
    <t>MUT-0001</t>
  </si>
  <si>
    <t>2026-04-19</t>
  </si>
  <si>
    <t>Unit/Rim/Pack</t>
  </si>
  <si>
    <t>Pengadaan baru</t>
  </si>
  <si>
    <t>MUT-0002</t>
  </si>
  <si>
    <t>2026-04-29</t>
  </si>
  <si>
    <t>Pemakaian operasional</t>
  </si>
  <si>
    <t>MUT-0003</t>
  </si>
  <si>
    <t>2026-04-11</t>
  </si>
  <si>
    <t>Permintaan divisi IT</t>
  </si>
  <si>
    <t>MUT-0004</t>
  </si>
  <si>
    <t>2026-04-10</t>
  </si>
  <si>
    <t>MUT-0005</t>
  </si>
  <si>
    <t>2026-04-24</t>
  </si>
  <si>
    <t>MUT-0006</t>
  </si>
  <si>
    <t>2026-04-25</t>
  </si>
  <si>
    <t>Restock dari supplier</t>
  </si>
  <si>
    <t>MUT-0007</t>
  </si>
  <si>
    <t>2026-04-07</t>
  </si>
  <si>
    <t>Permintaan HR</t>
  </si>
  <si>
    <t>MUT-0008</t>
  </si>
  <si>
    <t>2026-04-17</t>
  </si>
  <si>
    <t>MUT-0009</t>
  </si>
  <si>
    <t>2026-04-22</t>
  </si>
  <si>
    <t>MUT-0010</t>
  </si>
  <si>
    <t>Pembelian rutin</t>
  </si>
  <si>
    <t>MUT-0011</t>
  </si>
  <si>
    <t>2026-04-03</t>
  </si>
  <si>
    <t>MUT-0012</t>
  </si>
  <si>
    <t>2026-04-02</t>
  </si>
  <si>
    <t>MUT-0013</t>
  </si>
  <si>
    <t>Permintaan Finance</t>
  </si>
  <si>
    <t>MUT-0014</t>
  </si>
  <si>
    <t>MUT-0015</t>
  </si>
  <si>
    <t>2026-04-01</t>
  </si>
  <si>
    <t>MUT-0016</t>
  </si>
  <si>
    <t>MUT-0017</t>
  </si>
  <si>
    <t>MUT-0018</t>
  </si>
  <si>
    <t>2026-04-23</t>
  </si>
  <si>
    <t>MUT-0019</t>
  </si>
  <si>
    <t>2026-04-14</t>
  </si>
  <si>
    <t>MUT-0020</t>
  </si>
  <si>
    <t>MUT-0021</t>
  </si>
  <si>
    <t>2026-04-26</t>
  </si>
  <si>
    <t>MUT-0022</t>
  </si>
  <si>
    <t>MUT-0023</t>
  </si>
  <si>
    <t>2026-04-27</t>
  </si>
  <si>
    <t>MUT-0024</t>
  </si>
  <si>
    <t>MUT-0025</t>
  </si>
  <si>
    <t>MUT-0026</t>
  </si>
  <si>
    <t>MUT-0027</t>
  </si>
  <si>
    <t>2026-04-30</t>
  </si>
  <si>
    <t>MUT-0028</t>
  </si>
  <si>
    <t>MUT-0029</t>
  </si>
  <si>
    <t>2026-04-15</t>
  </si>
  <si>
    <t>MUT-0030</t>
  </si>
  <si>
    <t>2026-04-08</t>
  </si>
  <si>
    <t>Permintaan Marketing</t>
  </si>
  <si>
    <t>MUT-0031</t>
  </si>
  <si>
    <t>2026-04-28</t>
  </si>
  <si>
    <t>MUT-0032</t>
  </si>
  <si>
    <t>MUT-0033</t>
  </si>
  <si>
    <t>2026-04-05</t>
  </si>
  <si>
    <t>MUT-0034</t>
  </si>
  <si>
    <t>MUT-0035</t>
  </si>
  <si>
    <t>MUT-0036</t>
  </si>
  <si>
    <t>MUT-0037</t>
  </si>
  <si>
    <t>MUT-0038</t>
  </si>
  <si>
    <t>MUT-0039</t>
  </si>
  <si>
    <t>MUT-0040</t>
  </si>
  <si>
    <t>2026-04-20</t>
  </si>
  <si>
    <t>MUT-0041</t>
  </si>
  <si>
    <t>MUT-0042</t>
  </si>
  <si>
    <t>2026-04-12</t>
  </si>
  <si>
    <t>MUT-0043</t>
  </si>
  <si>
    <t>MUT-0044</t>
  </si>
  <si>
    <t>2026-04-06</t>
  </si>
  <si>
    <t>MUT-0045</t>
  </si>
  <si>
    <t>MUT-0046</t>
  </si>
  <si>
    <t>MUT-0047</t>
  </si>
  <si>
    <t>MUT-0048</t>
  </si>
  <si>
    <t>MUT-0049</t>
  </si>
  <si>
    <t>2026-04-04</t>
  </si>
  <si>
    <t xml:space="preserve">INVENTORY &amp; STOCK MANAGEMENT - GUDANG SENTRAL </t>
  </si>
  <si>
    <t>Total Jenis Barang</t>
  </si>
  <si>
    <t>Perlu Reorder</t>
  </si>
  <si>
    <t>DATA STOK BARANG - GUDANG SENTRAL</t>
  </si>
  <si>
    <t>MUTASI BARANG - APRIL 2026</t>
  </si>
  <si>
    <t>Stok per Kategori</t>
  </si>
  <si>
    <t>Rekapitulasi Mutasi April</t>
  </si>
  <si>
    <t>Stok Habis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</si>
</sst>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18"/>
      <color rgb="FF1A1A2E"/>
      <name val="Arial"/>
      <charset val="1"/>
    </font>
    <font>
      <b/>
      <sz val="10"/>
      <color rgb="FFFFFFFF"/>
      <name val="Arial"/>
      <charset val="1"/>
    </font>
    <font>
      <sz val="10"/>
      <color rgb="FF2C3E50"/>
      <name val="Arial"/>
      <charset val="1"/>
    </font>
    <font>
      <b/>
      <sz val="10"/>
      <color rgb="FF1E8449"/>
      <name val="Arial"/>
      <charset val="1"/>
    </font>
    <font>
      <b/>
      <sz val="10"/>
      <color rgb="FFC0392B"/>
      <name val="Arial"/>
      <charset val="1"/>
    </font>
    <font>
      <b/>
      <sz val="12"/>
      <color rgb="FFFFFFFF"/>
      <name val="Arial"/>
      <charset val="1"/>
    </font>
    <font>
      <b/>
      <sz val="10"/>
      <color rgb="FF2C3E5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0F3460"/>
        <bgColor rgb="FF2C3E50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/>
      <right/>
      <top/>
      <bottom style="thin">
        <color rgb="FF33333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9" fillId="2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4F6F9"/>
      <rgbColor rgb="FFCCFFFF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1E8449"/>
      <rgbColor rgb="FF003300"/>
      <rgbColor rgb="FF1A1A2E"/>
      <rgbColor rgb="FFC0392B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showGridLines="0" tabSelected="1" zoomScaleNormal="100" workbookViewId="0">
      <selection activeCell="N13" sqref="N13"/>
    </sheetView>
  </sheetViews>
  <sheetFormatPr defaultColWidth="8.7109375" defaultRowHeight="15" x14ac:dyDescent="0.25"/>
  <cols>
    <col min="1" max="15" width="16" customWidth="1"/>
  </cols>
  <sheetData>
    <row r="1" spans="1:14" ht="31.5" customHeight="1" x14ac:dyDescent="0.25">
      <c r="A1" s="5" t="s">
        <v>163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" customHeight="1" x14ac:dyDescent="0.25"/>
    <row r="5" spans="1:14" ht="18" customHeight="1" x14ac:dyDescent="0.25">
      <c r="A5" s="3" t="s">
        <v>164</v>
      </c>
      <c r="B5" s="3"/>
      <c r="C5" s="3"/>
      <c r="D5" s="3"/>
      <c r="E5" s="3" t="s">
        <v>3</v>
      </c>
      <c r="F5" s="3"/>
      <c r="G5" s="3"/>
      <c r="H5" s="3"/>
      <c r="I5" s="3" t="s">
        <v>165</v>
      </c>
      <c r="J5" s="3"/>
      <c r="K5" s="3"/>
      <c r="L5" s="3" t="s">
        <v>170</v>
      </c>
      <c r="M5" s="3"/>
      <c r="N5" s="3"/>
    </row>
    <row r="6" spans="1:14" ht="18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8" customHeight="1" x14ac:dyDescent="0.25">
      <c r="A7" s="2">
        <f>COUNTA('Stok Barang'!A3:A22)</f>
        <v>20</v>
      </c>
      <c r="B7" s="2"/>
      <c r="C7" s="2"/>
      <c r="D7" s="2"/>
      <c r="E7" s="2">
        <f>SUM('Stok Barang'!J3:J22)</f>
        <v>91590000</v>
      </c>
      <c r="F7" s="2"/>
      <c r="G7" s="2"/>
      <c r="H7" s="2"/>
      <c r="I7" s="2">
        <f>COUNTIF('Stok Barang'!L3:L22,"REORDER")</f>
        <v>1</v>
      </c>
      <c r="J7" s="2"/>
      <c r="K7" s="2"/>
      <c r="L7" s="2">
        <f>COUNTIF('Stok Barang'!L3:L22,"HABIS")</f>
        <v>0</v>
      </c>
      <c r="M7" s="2"/>
      <c r="N7" s="2"/>
    </row>
    <row r="8" spans="1:14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8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" customHeight="1" x14ac:dyDescent="0.25"/>
    <row r="11" spans="1:14" ht="18" customHeight="1" x14ac:dyDescent="0.25">
      <c r="A11" s="20" t="s">
        <v>168</v>
      </c>
      <c r="B11" s="20"/>
      <c r="C11" s="20"/>
      <c r="D11" s="20"/>
      <c r="I11" s="20" t="s">
        <v>169</v>
      </c>
      <c r="J11" s="20"/>
      <c r="K11" s="20"/>
    </row>
    <row r="12" spans="1:14" ht="18" customHeight="1" x14ac:dyDescent="0.25">
      <c r="A12" s="6" t="s">
        <v>1</v>
      </c>
      <c r="B12" s="6" t="s">
        <v>2</v>
      </c>
      <c r="C12" s="6" t="s">
        <v>3</v>
      </c>
      <c r="D12" s="6" t="s">
        <v>4</v>
      </c>
      <c r="I12" s="6" t="s">
        <v>5</v>
      </c>
      <c r="J12" s="6" t="s">
        <v>6</v>
      </c>
      <c r="K12" s="6" t="s">
        <v>7</v>
      </c>
    </row>
    <row r="13" spans="1:14" ht="18" customHeight="1" x14ac:dyDescent="0.25">
      <c r="A13" s="7" t="s">
        <v>8</v>
      </c>
      <c r="B13" s="7">
        <f>COUNTIF('Stok Barang'!C3:C22,"ATK")</f>
        <v>5</v>
      </c>
      <c r="C13" s="8">
        <f>SUMIF('Stok Barang'!C3:C22,"ATK",'Stok Barang'!J3:J22)</f>
        <v>10985000</v>
      </c>
      <c r="D13" s="8">
        <f>IF(B13=0,0,C13/B13)</f>
        <v>2197000</v>
      </c>
      <c r="I13" s="9" t="s">
        <v>9</v>
      </c>
      <c r="J13" s="7">
        <f>COUNTIF('Mutasi Barang'!E3:E51,"Barang Masuk")</f>
        <v>17</v>
      </c>
      <c r="K13" s="8">
        <f>SUMIF('Mutasi Barang'!E3:E51,"Barang Masuk",'Mutasi Barang'!I3:I51)</f>
        <v>8699000</v>
      </c>
    </row>
    <row r="14" spans="1:14" ht="18" customHeight="1" x14ac:dyDescent="0.25">
      <c r="A14" s="10" t="s">
        <v>10</v>
      </c>
      <c r="B14" s="10">
        <f>COUNTIF('Stok Barang'!C3:C22,"Elektronik")</f>
        <v>5</v>
      </c>
      <c r="C14" s="11">
        <f>SUMIF('Stok Barang'!C3:C22,"Elektronik",'Stok Barang'!J3:J22)</f>
        <v>28540000</v>
      </c>
      <c r="D14" s="11">
        <f>IF(B14=0,0,C14/B14)</f>
        <v>5708000</v>
      </c>
      <c r="I14" s="12" t="s">
        <v>11</v>
      </c>
      <c r="J14" s="10">
        <f>COUNTIF('Mutasi Barang'!E3:E51,"Barang Keluar")</f>
        <v>32</v>
      </c>
      <c r="K14" s="11">
        <f>SUMIF('Mutasi Barang'!E3:E51,"Barang Keluar",'Mutasi Barang'!I3:I51)</f>
        <v>19861000</v>
      </c>
    </row>
    <row r="15" spans="1:14" ht="18" customHeight="1" x14ac:dyDescent="0.25">
      <c r="A15" s="7" t="s">
        <v>12</v>
      </c>
      <c r="B15" s="7">
        <f>COUNTIF('Stok Barang'!C3:C22,"Kebersihan")</f>
        <v>3</v>
      </c>
      <c r="C15" s="8">
        <f>SUMIF('Stok Barang'!C3:C22,"Kebersihan",'Stok Barang'!J3:J22)</f>
        <v>2658000</v>
      </c>
      <c r="D15" s="8">
        <f>IF(B15=0,0,C15/B15)</f>
        <v>886000</v>
      </c>
      <c r="I15" s="6" t="s">
        <v>13</v>
      </c>
      <c r="J15" s="6">
        <f>SUM(J13:J14)</f>
        <v>49</v>
      </c>
      <c r="K15" s="13">
        <f>SUM(K13:K14)</f>
        <v>28560000</v>
      </c>
    </row>
    <row r="16" spans="1:14" ht="18" customHeight="1" x14ac:dyDescent="0.25">
      <c r="A16" s="10" t="s">
        <v>14</v>
      </c>
      <c r="B16" s="10">
        <f>COUNTIF('Stok Barang'!C3:C22,"Dapur")</f>
        <v>3</v>
      </c>
      <c r="C16" s="11">
        <f>SUMIF('Stok Barang'!C3:C22,"Dapur",'Stok Barang'!J3:J22)</f>
        <v>3625000</v>
      </c>
      <c r="D16" s="11">
        <f>IF(B16=0,0,C16/B16)</f>
        <v>1208333.3333333333</v>
      </c>
    </row>
    <row r="17" spans="1:4" ht="18" customHeight="1" x14ac:dyDescent="0.25">
      <c r="A17" s="7" t="s">
        <v>15</v>
      </c>
      <c r="B17" s="7">
        <f>COUNTIF('Stok Barang'!C3:C22,"Furniture")</f>
        <v>2</v>
      </c>
      <c r="C17" s="8">
        <f>SUMIF('Stok Barang'!C3:C22,"Furniture",'Stok Barang'!J3:J22)</f>
        <v>40120000</v>
      </c>
      <c r="D17" s="8">
        <f>IF(B17=0,0,C17/B17)</f>
        <v>20060000</v>
      </c>
    </row>
    <row r="18" spans="1:4" ht="18" customHeight="1" x14ac:dyDescent="0.25">
      <c r="A18" s="10" t="s">
        <v>16</v>
      </c>
      <c r="B18" s="10">
        <f>COUNTIF('Stok Barang'!C3:C22,"Keamanan")</f>
        <v>2</v>
      </c>
      <c r="C18" s="11">
        <f>SUMIF('Stok Barang'!C3:C22,"Keamanan",'Stok Barang'!J3:J22)</f>
        <v>5662000</v>
      </c>
      <c r="D18" s="11">
        <f>IF(B18=0,0,C18/B18)</f>
        <v>2831000</v>
      </c>
    </row>
    <row r="19" spans="1:4" ht="18" customHeight="1" x14ac:dyDescent="0.25">
      <c r="A19" s="6" t="s">
        <v>13</v>
      </c>
      <c r="B19" s="6">
        <f>SUM(B13:B18)</f>
        <v>20</v>
      </c>
      <c r="C19" s="13">
        <f>SUM(C13:C18)</f>
        <v>91590000</v>
      </c>
      <c r="D19" s="13">
        <f>IF(B19=0,0,C19/B19)</f>
        <v>4579500</v>
      </c>
    </row>
    <row r="20" spans="1:4" ht="18" customHeight="1" x14ac:dyDescent="0.25"/>
    <row r="21" spans="1:4" ht="18" customHeight="1" x14ac:dyDescent="0.25"/>
    <row r="22" spans="1:4" ht="18" customHeight="1" x14ac:dyDescent="0.25"/>
    <row r="23" spans="1:4" ht="18" customHeight="1" x14ac:dyDescent="0.25"/>
    <row r="24" spans="1:4" ht="18" customHeight="1" x14ac:dyDescent="0.25"/>
    <row r="25" spans="1:4" ht="18" customHeight="1" x14ac:dyDescent="0.25"/>
    <row r="26" spans="1:4" ht="18" customHeight="1" x14ac:dyDescent="0.25"/>
    <row r="27" spans="1:4" ht="18" customHeight="1" x14ac:dyDescent="0.25"/>
    <row r="28" spans="1:4" ht="18" customHeight="1" x14ac:dyDescent="0.25"/>
    <row r="29" spans="1:4" ht="18" customHeight="1" x14ac:dyDescent="0.25"/>
    <row r="30" spans="1:4" ht="18" customHeight="1" x14ac:dyDescent="0.25"/>
    <row r="31" spans="1:4" ht="18" customHeight="1" x14ac:dyDescent="0.25"/>
    <row r="32" spans="1:4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</sheetData>
  <mergeCells count="12">
    <mergeCell ref="A11:D11"/>
    <mergeCell ref="I11:K11"/>
    <mergeCell ref="A7:D9"/>
    <mergeCell ref="E7:H9"/>
    <mergeCell ref="I7:K9"/>
    <mergeCell ref="L7:N9"/>
    <mergeCell ref="A1:N2"/>
    <mergeCell ref="A3:N3"/>
    <mergeCell ref="A5:D6"/>
    <mergeCell ref="E5:H6"/>
    <mergeCell ref="I5:K6"/>
    <mergeCell ref="L5:N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showGridLines="0" zoomScaleNormal="100" workbookViewId="0">
      <pane ySplit="2" topLeftCell="A3" activePane="bottomLeft" state="frozen"/>
      <selection pane="bottomLeft" activeCell="N9" sqref="N9"/>
    </sheetView>
  </sheetViews>
  <sheetFormatPr defaultColWidth="8.7109375" defaultRowHeight="15" x14ac:dyDescent="0.25"/>
  <cols>
    <col min="1" max="1" width="12" customWidth="1"/>
    <col min="2" max="2" width="28" customWidth="1"/>
    <col min="3" max="3" width="14" customWidth="1"/>
    <col min="4" max="4" width="10" customWidth="1"/>
    <col min="5" max="8" width="12" customWidth="1"/>
    <col min="9" max="10" width="18" customWidth="1"/>
    <col min="11" max="12" width="14" customWidth="1"/>
  </cols>
  <sheetData>
    <row r="1" spans="1:12" ht="25.5" customHeight="1" x14ac:dyDescent="0.25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x14ac:dyDescent="0.25">
      <c r="A2" s="6" t="s">
        <v>17</v>
      </c>
      <c r="B2" s="6" t="s">
        <v>18</v>
      </c>
      <c r="C2" s="6" t="s">
        <v>1</v>
      </c>
      <c r="D2" s="6" t="s">
        <v>19</v>
      </c>
      <c r="E2" s="6" t="s">
        <v>20</v>
      </c>
      <c r="F2" s="6" t="s">
        <v>21</v>
      </c>
      <c r="G2" s="6" t="s">
        <v>22</v>
      </c>
      <c r="H2" s="6" t="s">
        <v>23</v>
      </c>
      <c r="I2" s="6" t="s">
        <v>24</v>
      </c>
      <c r="J2" s="6" t="s">
        <v>25</v>
      </c>
      <c r="K2" s="6" t="s">
        <v>26</v>
      </c>
      <c r="L2" s="6" t="s">
        <v>27</v>
      </c>
    </row>
    <row r="3" spans="1:12" x14ac:dyDescent="0.25">
      <c r="A3" s="7" t="s">
        <v>28</v>
      </c>
      <c r="B3" s="14" t="s">
        <v>29</v>
      </c>
      <c r="C3" s="7" t="s">
        <v>8</v>
      </c>
      <c r="D3" s="7" t="s">
        <v>30</v>
      </c>
      <c r="E3" s="7">
        <v>52</v>
      </c>
      <c r="F3" s="7">
        <v>20</v>
      </c>
      <c r="G3" s="7">
        <v>17</v>
      </c>
      <c r="H3" s="7">
        <f t="shared" ref="H3:H22" si="0">E3+F3-G3</f>
        <v>55</v>
      </c>
      <c r="I3" s="8">
        <v>52000</v>
      </c>
      <c r="J3" s="8">
        <f t="shared" ref="J3:J22" si="1">H3*I3</f>
        <v>2860000</v>
      </c>
      <c r="K3" s="7">
        <v>10</v>
      </c>
      <c r="L3" s="15" t="str">
        <f t="shared" ref="L3:L22" si="2">IF(H3&lt;=0,"HABIS",IF(H3&lt;=K3,"REORDER","Aman"))</f>
        <v>Aman</v>
      </c>
    </row>
    <row r="4" spans="1:12" x14ac:dyDescent="0.25">
      <c r="A4" s="10" t="s">
        <v>31</v>
      </c>
      <c r="B4" s="16" t="s">
        <v>32</v>
      </c>
      <c r="C4" s="10" t="s">
        <v>8</v>
      </c>
      <c r="D4" s="10" t="s">
        <v>33</v>
      </c>
      <c r="E4" s="10">
        <v>50</v>
      </c>
      <c r="F4" s="10">
        <v>12</v>
      </c>
      <c r="G4" s="10">
        <v>12</v>
      </c>
      <c r="H4" s="10">
        <f t="shared" si="0"/>
        <v>50</v>
      </c>
      <c r="I4" s="11">
        <v>18000</v>
      </c>
      <c r="J4" s="11">
        <f t="shared" si="1"/>
        <v>900000</v>
      </c>
      <c r="K4" s="10">
        <v>5</v>
      </c>
      <c r="L4" s="17" t="str">
        <f t="shared" si="2"/>
        <v>Aman</v>
      </c>
    </row>
    <row r="5" spans="1:12" x14ac:dyDescent="0.25">
      <c r="A5" s="7" t="s">
        <v>34</v>
      </c>
      <c r="B5" s="14" t="s">
        <v>35</v>
      </c>
      <c r="C5" s="7" t="s">
        <v>8</v>
      </c>
      <c r="D5" s="7" t="s">
        <v>36</v>
      </c>
      <c r="E5" s="7">
        <v>57</v>
      </c>
      <c r="F5" s="7">
        <v>30</v>
      </c>
      <c r="G5" s="7">
        <v>40</v>
      </c>
      <c r="H5" s="7">
        <f t="shared" si="0"/>
        <v>47</v>
      </c>
      <c r="I5" s="8">
        <v>24000</v>
      </c>
      <c r="J5" s="8">
        <f t="shared" si="1"/>
        <v>1128000</v>
      </c>
      <c r="K5" s="7">
        <v>5</v>
      </c>
      <c r="L5" s="15" t="str">
        <f t="shared" si="2"/>
        <v>Aman</v>
      </c>
    </row>
    <row r="6" spans="1:12" x14ac:dyDescent="0.25">
      <c r="A6" s="10" t="s">
        <v>37</v>
      </c>
      <c r="B6" s="16" t="s">
        <v>38</v>
      </c>
      <c r="C6" s="10" t="s">
        <v>8</v>
      </c>
      <c r="D6" s="10" t="s">
        <v>39</v>
      </c>
      <c r="E6" s="10">
        <v>98</v>
      </c>
      <c r="F6" s="10">
        <v>15</v>
      </c>
      <c r="G6" s="10">
        <v>14</v>
      </c>
      <c r="H6" s="10">
        <f t="shared" si="0"/>
        <v>99</v>
      </c>
      <c r="I6" s="11">
        <v>35000</v>
      </c>
      <c r="J6" s="11">
        <f t="shared" si="1"/>
        <v>3465000</v>
      </c>
      <c r="K6" s="10">
        <v>5</v>
      </c>
      <c r="L6" s="17" t="str">
        <f t="shared" si="2"/>
        <v>Aman</v>
      </c>
    </row>
    <row r="7" spans="1:12" x14ac:dyDescent="0.25">
      <c r="A7" s="7" t="s">
        <v>40</v>
      </c>
      <c r="B7" s="14" t="s">
        <v>41</v>
      </c>
      <c r="C7" s="7" t="s">
        <v>8</v>
      </c>
      <c r="D7" s="7" t="s">
        <v>33</v>
      </c>
      <c r="E7" s="7">
        <v>91</v>
      </c>
      <c r="F7" s="7">
        <v>40</v>
      </c>
      <c r="G7" s="7">
        <v>37</v>
      </c>
      <c r="H7" s="7">
        <f t="shared" si="0"/>
        <v>94</v>
      </c>
      <c r="I7" s="8">
        <v>28000</v>
      </c>
      <c r="J7" s="8">
        <f t="shared" si="1"/>
        <v>2632000</v>
      </c>
      <c r="K7" s="7">
        <v>5</v>
      </c>
      <c r="L7" s="15" t="str">
        <f t="shared" si="2"/>
        <v>Aman</v>
      </c>
    </row>
    <row r="8" spans="1:12" x14ac:dyDescent="0.25">
      <c r="A8" s="10" t="s">
        <v>42</v>
      </c>
      <c r="B8" s="16" t="s">
        <v>43</v>
      </c>
      <c r="C8" s="10" t="s">
        <v>10</v>
      </c>
      <c r="D8" s="10" t="s">
        <v>44</v>
      </c>
      <c r="E8" s="10">
        <v>20</v>
      </c>
      <c r="F8" s="10">
        <v>17</v>
      </c>
      <c r="G8" s="10">
        <v>6</v>
      </c>
      <c r="H8" s="10">
        <f t="shared" si="0"/>
        <v>31</v>
      </c>
      <c r="I8" s="11">
        <v>85000</v>
      </c>
      <c r="J8" s="11">
        <f t="shared" si="1"/>
        <v>2635000</v>
      </c>
      <c r="K8" s="10">
        <v>3</v>
      </c>
      <c r="L8" s="17" t="str">
        <f t="shared" si="2"/>
        <v>Aman</v>
      </c>
    </row>
    <row r="9" spans="1:12" x14ac:dyDescent="0.25">
      <c r="A9" s="7" t="s">
        <v>45</v>
      </c>
      <c r="B9" s="14" t="s">
        <v>46</v>
      </c>
      <c r="C9" s="7" t="s">
        <v>10</v>
      </c>
      <c r="D9" s="7" t="s">
        <v>44</v>
      </c>
      <c r="E9" s="7">
        <v>83</v>
      </c>
      <c r="F9" s="7">
        <v>11</v>
      </c>
      <c r="G9" s="7">
        <v>17</v>
      </c>
      <c r="H9" s="7">
        <f t="shared" si="0"/>
        <v>77</v>
      </c>
      <c r="I9" s="8">
        <v>120000</v>
      </c>
      <c r="J9" s="8">
        <f t="shared" si="1"/>
        <v>9240000</v>
      </c>
      <c r="K9" s="7">
        <v>3</v>
      </c>
      <c r="L9" s="15" t="str">
        <f t="shared" si="2"/>
        <v>Aman</v>
      </c>
    </row>
    <row r="10" spans="1:12" x14ac:dyDescent="0.25">
      <c r="A10" s="10" t="s">
        <v>47</v>
      </c>
      <c r="B10" s="16" t="s">
        <v>48</v>
      </c>
      <c r="C10" s="10" t="s">
        <v>10</v>
      </c>
      <c r="D10" s="10" t="s">
        <v>44</v>
      </c>
      <c r="E10" s="10">
        <v>84</v>
      </c>
      <c r="F10" s="10">
        <v>24</v>
      </c>
      <c r="G10" s="10">
        <v>16</v>
      </c>
      <c r="H10" s="10">
        <f t="shared" si="0"/>
        <v>92</v>
      </c>
      <c r="I10" s="11">
        <v>95000</v>
      </c>
      <c r="J10" s="11">
        <f t="shared" si="1"/>
        <v>8740000</v>
      </c>
      <c r="K10" s="10">
        <v>3</v>
      </c>
      <c r="L10" s="17" t="str">
        <f t="shared" si="2"/>
        <v>Aman</v>
      </c>
    </row>
    <row r="11" spans="1:12" x14ac:dyDescent="0.25">
      <c r="A11" s="7" t="s">
        <v>49</v>
      </c>
      <c r="B11" s="14" t="s">
        <v>50</v>
      </c>
      <c r="C11" s="7" t="s">
        <v>10</v>
      </c>
      <c r="D11" s="7" t="s">
        <v>51</v>
      </c>
      <c r="E11" s="7">
        <v>62</v>
      </c>
      <c r="F11" s="7">
        <v>20</v>
      </c>
      <c r="G11" s="7">
        <v>12</v>
      </c>
      <c r="H11" s="7">
        <f t="shared" si="0"/>
        <v>70</v>
      </c>
      <c r="I11" s="8">
        <v>65000</v>
      </c>
      <c r="J11" s="8">
        <f t="shared" si="1"/>
        <v>4550000</v>
      </c>
      <c r="K11" s="7">
        <v>5</v>
      </c>
      <c r="L11" s="15" t="str">
        <f t="shared" si="2"/>
        <v>Aman</v>
      </c>
    </row>
    <row r="12" spans="1:12" x14ac:dyDescent="0.25">
      <c r="A12" s="10" t="s">
        <v>52</v>
      </c>
      <c r="B12" s="16" t="s">
        <v>53</v>
      </c>
      <c r="C12" s="10" t="s">
        <v>10</v>
      </c>
      <c r="D12" s="10" t="s">
        <v>51</v>
      </c>
      <c r="E12" s="10">
        <v>31</v>
      </c>
      <c r="F12" s="10">
        <v>35</v>
      </c>
      <c r="G12" s="10">
        <v>21</v>
      </c>
      <c r="H12" s="10">
        <f t="shared" si="0"/>
        <v>45</v>
      </c>
      <c r="I12" s="11">
        <v>75000</v>
      </c>
      <c r="J12" s="11">
        <f t="shared" si="1"/>
        <v>3375000</v>
      </c>
      <c r="K12" s="10">
        <v>5</v>
      </c>
      <c r="L12" s="17" t="str">
        <f t="shared" si="2"/>
        <v>Aman</v>
      </c>
    </row>
    <row r="13" spans="1:12" x14ac:dyDescent="0.25">
      <c r="A13" s="7" t="s">
        <v>54</v>
      </c>
      <c r="B13" s="14" t="s">
        <v>55</v>
      </c>
      <c r="C13" s="7" t="s">
        <v>12</v>
      </c>
      <c r="D13" s="7" t="s">
        <v>51</v>
      </c>
      <c r="E13" s="7">
        <v>88</v>
      </c>
      <c r="F13" s="7">
        <v>30</v>
      </c>
      <c r="G13" s="7">
        <v>18</v>
      </c>
      <c r="H13" s="7">
        <f t="shared" si="0"/>
        <v>100</v>
      </c>
      <c r="I13" s="8">
        <v>15000</v>
      </c>
      <c r="J13" s="8">
        <f t="shared" si="1"/>
        <v>1500000</v>
      </c>
      <c r="K13" s="7">
        <v>10</v>
      </c>
      <c r="L13" s="15" t="str">
        <f t="shared" si="2"/>
        <v>Aman</v>
      </c>
    </row>
    <row r="14" spans="1:12" x14ac:dyDescent="0.25">
      <c r="A14" s="10" t="s">
        <v>56</v>
      </c>
      <c r="B14" s="16" t="s">
        <v>57</v>
      </c>
      <c r="C14" s="10" t="s">
        <v>12</v>
      </c>
      <c r="D14" s="10" t="s">
        <v>39</v>
      </c>
      <c r="E14" s="10">
        <v>48</v>
      </c>
      <c r="F14" s="10">
        <v>12</v>
      </c>
      <c r="G14" s="10">
        <v>9</v>
      </c>
      <c r="H14" s="10">
        <f t="shared" si="0"/>
        <v>51</v>
      </c>
      <c r="I14" s="11">
        <v>22000</v>
      </c>
      <c r="J14" s="11">
        <f t="shared" si="1"/>
        <v>1122000</v>
      </c>
      <c r="K14" s="10">
        <v>10</v>
      </c>
      <c r="L14" s="17" t="str">
        <f t="shared" si="2"/>
        <v>Aman</v>
      </c>
    </row>
    <row r="15" spans="1:12" x14ac:dyDescent="0.25">
      <c r="A15" s="7" t="s">
        <v>58</v>
      </c>
      <c r="B15" s="14" t="s">
        <v>59</v>
      </c>
      <c r="C15" s="7" t="s">
        <v>12</v>
      </c>
      <c r="D15" s="7" t="s">
        <v>60</v>
      </c>
      <c r="E15" s="7">
        <v>30</v>
      </c>
      <c r="F15" s="7">
        <v>12</v>
      </c>
      <c r="G15" s="7">
        <v>40</v>
      </c>
      <c r="H15" s="7">
        <f t="shared" si="0"/>
        <v>2</v>
      </c>
      <c r="I15" s="8">
        <v>18000</v>
      </c>
      <c r="J15" s="8">
        <f t="shared" si="1"/>
        <v>36000</v>
      </c>
      <c r="K15" s="7">
        <v>5</v>
      </c>
      <c r="L15" s="15" t="str">
        <f t="shared" si="2"/>
        <v>REORDER</v>
      </c>
    </row>
    <row r="16" spans="1:12" x14ac:dyDescent="0.25">
      <c r="A16" s="10" t="s">
        <v>61</v>
      </c>
      <c r="B16" s="16" t="s">
        <v>62</v>
      </c>
      <c r="C16" s="10" t="s">
        <v>14</v>
      </c>
      <c r="D16" s="10" t="s">
        <v>39</v>
      </c>
      <c r="E16" s="10">
        <v>76</v>
      </c>
      <c r="F16" s="10">
        <v>38</v>
      </c>
      <c r="G16" s="10">
        <v>39</v>
      </c>
      <c r="H16" s="10">
        <f t="shared" si="0"/>
        <v>75</v>
      </c>
      <c r="I16" s="11">
        <v>12000</v>
      </c>
      <c r="J16" s="11">
        <f t="shared" si="1"/>
        <v>900000</v>
      </c>
      <c r="K16" s="10">
        <v>10</v>
      </c>
      <c r="L16" s="17" t="str">
        <f t="shared" si="2"/>
        <v>Aman</v>
      </c>
    </row>
    <row r="17" spans="1:12" x14ac:dyDescent="0.25">
      <c r="A17" s="7" t="s">
        <v>63</v>
      </c>
      <c r="B17" s="14" t="s">
        <v>64</v>
      </c>
      <c r="C17" s="7" t="s">
        <v>14</v>
      </c>
      <c r="D17" s="7" t="s">
        <v>36</v>
      </c>
      <c r="E17" s="7">
        <v>29</v>
      </c>
      <c r="F17" s="7">
        <v>6</v>
      </c>
      <c r="G17" s="7">
        <v>18</v>
      </c>
      <c r="H17" s="7">
        <f t="shared" si="0"/>
        <v>17</v>
      </c>
      <c r="I17" s="8">
        <v>45000</v>
      </c>
      <c r="J17" s="8">
        <f t="shared" si="1"/>
        <v>765000</v>
      </c>
      <c r="K17" s="7">
        <v>5</v>
      </c>
      <c r="L17" s="15" t="str">
        <f t="shared" si="2"/>
        <v>Aman</v>
      </c>
    </row>
    <row r="18" spans="1:12" x14ac:dyDescent="0.25">
      <c r="A18" s="10" t="s">
        <v>65</v>
      </c>
      <c r="B18" s="16" t="s">
        <v>66</v>
      </c>
      <c r="C18" s="10" t="s">
        <v>14</v>
      </c>
      <c r="D18" s="10" t="s">
        <v>36</v>
      </c>
      <c r="E18" s="10">
        <v>62</v>
      </c>
      <c r="F18" s="10">
        <v>5</v>
      </c>
      <c r="G18" s="10">
        <v>11</v>
      </c>
      <c r="H18" s="10">
        <f t="shared" si="0"/>
        <v>56</v>
      </c>
      <c r="I18" s="11">
        <v>35000</v>
      </c>
      <c r="J18" s="11">
        <f t="shared" si="1"/>
        <v>1960000</v>
      </c>
      <c r="K18" s="10">
        <v>5</v>
      </c>
      <c r="L18" s="17" t="str">
        <f t="shared" si="2"/>
        <v>Aman</v>
      </c>
    </row>
    <row r="19" spans="1:12" x14ac:dyDescent="0.25">
      <c r="A19" s="7" t="s">
        <v>67</v>
      </c>
      <c r="B19" s="14" t="s">
        <v>68</v>
      </c>
      <c r="C19" s="7" t="s">
        <v>15</v>
      </c>
      <c r="D19" s="7" t="s">
        <v>44</v>
      </c>
      <c r="E19" s="7">
        <v>93</v>
      </c>
      <c r="F19" s="7">
        <v>29</v>
      </c>
      <c r="G19" s="7">
        <v>10</v>
      </c>
      <c r="H19" s="7">
        <f t="shared" si="0"/>
        <v>112</v>
      </c>
      <c r="I19" s="8">
        <v>175000</v>
      </c>
      <c r="J19" s="8">
        <f t="shared" si="1"/>
        <v>19600000</v>
      </c>
      <c r="K19" s="7">
        <v>2</v>
      </c>
      <c r="L19" s="15" t="str">
        <f t="shared" si="2"/>
        <v>Aman</v>
      </c>
    </row>
    <row r="20" spans="1:12" x14ac:dyDescent="0.25">
      <c r="A20" s="10" t="s">
        <v>69</v>
      </c>
      <c r="B20" s="16" t="s">
        <v>70</v>
      </c>
      <c r="C20" s="10" t="s">
        <v>15</v>
      </c>
      <c r="D20" s="10" t="s">
        <v>44</v>
      </c>
      <c r="E20" s="10">
        <v>88</v>
      </c>
      <c r="F20" s="10">
        <v>6</v>
      </c>
      <c r="G20" s="10">
        <v>22</v>
      </c>
      <c r="H20" s="10">
        <f t="shared" si="0"/>
        <v>72</v>
      </c>
      <c r="I20" s="11">
        <v>285000</v>
      </c>
      <c r="J20" s="11">
        <f t="shared" si="1"/>
        <v>20520000</v>
      </c>
      <c r="K20" s="10">
        <v>2</v>
      </c>
      <c r="L20" s="17" t="str">
        <f t="shared" si="2"/>
        <v>Aman</v>
      </c>
    </row>
    <row r="21" spans="1:12" x14ac:dyDescent="0.25">
      <c r="A21" s="7" t="s">
        <v>71</v>
      </c>
      <c r="B21" s="14" t="s">
        <v>72</v>
      </c>
      <c r="C21" s="7" t="s">
        <v>16</v>
      </c>
      <c r="D21" s="7" t="s">
        <v>44</v>
      </c>
      <c r="E21" s="7">
        <v>76</v>
      </c>
      <c r="F21" s="7">
        <v>40</v>
      </c>
      <c r="G21" s="7">
        <v>40</v>
      </c>
      <c r="H21" s="7">
        <f t="shared" si="0"/>
        <v>76</v>
      </c>
      <c r="I21" s="8">
        <v>65000</v>
      </c>
      <c r="J21" s="8">
        <f t="shared" si="1"/>
        <v>4940000</v>
      </c>
      <c r="K21" s="7">
        <v>3</v>
      </c>
      <c r="L21" s="15" t="str">
        <f t="shared" si="2"/>
        <v>Aman</v>
      </c>
    </row>
    <row r="22" spans="1:12" x14ac:dyDescent="0.25">
      <c r="A22" s="10" t="s">
        <v>73</v>
      </c>
      <c r="B22" s="16" t="s">
        <v>74</v>
      </c>
      <c r="C22" s="10" t="s">
        <v>16</v>
      </c>
      <c r="D22" s="10" t="s">
        <v>39</v>
      </c>
      <c r="E22" s="10">
        <v>35</v>
      </c>
      <c r="F22" s="10">
        <v>22</v>
      </c>
      <c r="G22" s="10">
        <v>38</v>
      </c>
      <c r="H22" s="10">
        <f t="shared" si="0"/>
        <v>19</v>
      </c>
      <c r="I22" s="11">
        <v>38000</v>
      </c>
      <c r="J22" s="11">
        <f t="shared" si="1"/>
        <v>722000</v>
      </c>
      <c r="K22" s="10">
        <v>5</v>
      </c>
      <c r="L22" s="17" t="str">
        <f t="shared" si="2"/>
        <v>Aman</v>
      </c>
    </row>
    <row r="23" spans="1:12" x14ac:dyDescent="0.25">
      <c r="A23" s="6" t="s">
        <v>13</v>
      </c>
      <c r="B23" s="6"/>
      <c r="C23" s="6"/>
      <c r="D23" s="6"/>
      <c r="E23" s="6">
        <f>SUM(E3:E22)</f>
        <v>1253</v>
      </c>
      <c r="F23" s="6">
        <f>SUM(F3:F22)</f>
        <v>424</v>
      </c>
      <c r="G23" s="6">
        <f>SUM(G3:G22)</f>
        <v>437</v>
      </c>
      <c r="H23" s="6">
        <f>SUM(H3:H22)</f>
        <v>1240</v>
      </c>
      <c r="I23" s="6"/>
      <c r="J23" s="13">
        <f>SUM(J3:J22)</f>
        <v>91590000</v>
      </c>
      <c r="K23" s="6"/>
      <c r="L23" s="6" t="s">
        <v>75</v>
      </c>
    </row>
  </sheetData>
  <autoFilter ref="A2:L22" xr:uid="{00000000-0009-0000-0000-000001000000}"/>
  <mergeCells count="1">
    <mergeCell ref="A1:L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2"/>
  <sheetViews>
    <sheetView showGridLines="0" zoomScaleNormal="100" workbookViewId="0">
      <pane ySplit="2" topLeftCell="A49" activePane="bottomLeft" state="frozen"/>
      <selection pane="bottomLeft" sqref="A1:J1"/>
    </sheetView>
  </sheetViews>
  <sheetFormatPr defaultColWidth="8.7109375" defaultRowHeight="15" x14ac:dyDescent="0.25"/>
  <cols>
    <col min="1" max="3" width="14" customWidth="1"/>
    <col min="4" max="4" width="28" customWidth="1"/>
    <col min="5" max="5" width="16" customWidth="1"/>
    <col min="6" max="6" width="10" customWidth="1"/>
    <col min="7" max="7" width="14" customWidth="1"/>
    <col min="8" max="9" width="18" customWidth="1"/>
    <col min="10" max="10" width="28" customWidth="1"/>
  </cols>
  <sheetData>
    <row r="1" spans="1:10" ht="25.5" customHeight="1" x14ac:dyDescent="0.25">
      <c r="A1" s="1" t="s">
        <v>167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6" t="s">
        <v>76</v>
      </c>
      <c r="B2" s="6" t="s">
        <v>77</v>
      </c>
      <c r="C2" s="6" t="s">
        <v>17</v>
      </c>
      <c r="D2" s="6" t="s">
        <v>18</v>
      </c>
      <c r="E2" s="6" t="s">
        <v>5</v>
      </c>
      <c r="F2" s="6" t="s">
        <v>78</v>
      </c>
      <c r="G2" s="6" t="s">
        <v>19</v>
      </c>
      <c r="H2" s="6" t="s">
        <v>24</v>
      </c>
      <c r="I2" s="6" t="s">
        <v>7</v>
      </c>
      <c r="J2" s="6" t="s">
        <v>79</v>
      </c>
    </row>
    <row r="3" spans="1:10" x14ac:dyDescent="0.25">
      <c r="A3" s="7" t="s">
        <v>80</v>
      </c>
      <c r="B3" s="7" t="s">
        <v>81</v>
      </c>
      <c r="C3" s="7" t="s">
        <v>42</v>
      </c>
      <c r="D3" s="14" t="s">
        <v>43</v>
      </c>
      <c r="E3" s="9" t="s">
        <v>9</v>
      </c>
      <c r="F3" s="7">
        <v>9</v>
      </c>
      <c r="G3" s="7" t="s">
        <v>82</v>
      </c>
      <c r="H3" s="8">
        <f>VLOOKUP(C3,'Stok Barang'!$A:$I,9,0)</f>
        <v>85000</v>
      </c>
      <c r="I3" s="8">
        <f t="shared" ref="I3:I34" si="0">F3*H3</f>
        <v>765000</v>
      </c>
      <c r="J3" s="14" t="s">
        <v>83</v>
      </c>
    </row>
    <row r="4" spans="1:10" x14ac:dyDescent="0.25">
      <c r="A4" s="10" t="s">
        <v>84</v>
      </c>
      <c r="B4" s="10" t="s">
        <v>85</v>
      </c>
      <c r="C4" s="10" t="s">
        <v>69</v>
      </c>
      <c r="D4" s="16" t="s">
        <v>70</v>
      </c>
      <c r="E4" s="12" t="s">
        <v>11</v>
      </c>
      <c r="F4" s="10">
        <v>6</v>
      </c>
      <c r="G4" s="10" t="s">
        <v>82</v>
      </c>
      <c r="H4" s="11">
        <f>VLOOKUP(C4,'Stok Barang'!$A:$I,9,0)</f>
        <v>285000</v>
      </c>
      <c r="I4" s="11">
        <f t="shared" si="0"/>
        <v>1710000</v>
      </c>
      <c r="J4" s="16" t="s">
        <v>86</v>
      </c>
    </row>
    <row r="5" spans="1:10" x14ac:dyDescent="0.25">
      <c r="A5" s="7" t="s">
        <v>87</v>
      </c>
      <c r="B5" s="7" t="s">
        <v>88</v>
      </c>
      <c r="C5" s="7" t="s">
        <v>67</v>
      </c>
      <c r="D5" s="14" t="s">
        <v>68</v>
      </c>
      <c r="E5" s="18" t="s">
        <v>11</v>
      </c>
      <c r="F5" s="7">
        <v>15</v>
      </c>
      <c r="G5" s="7" t="s">
        <v>82</v>
      </c>
      <c r="H5" s="8">
        <f>VLOOKUP(C5,'Stok Barang'!$A:$I,9,0)</f>
        <v>175000</v>
      </c>
      <c r="I5" s="8">
        <f t="shared" si="0"/>
        <v>2625000</v>
      </c>
      <c r="J5" s="14" t="s">
        <v>89</v>
      </c>
    </row>
    <row r="6" spans="1:10" x14ac:dyDescent="0.25">
      <c r="A6" s="10" t="s">
        <v>90</v>
      </c>
      <c r="B6" s="10" t="s">
        <v>91</v>
      </c>
      <c r="C6" s="10" t="s">
        <v>61</v>
      </c>
      <c r="D6" s="16" t="s">
        <v>62</v>
      </c>
      <c r="E6" s="12" t="s">
        <v>11</v>
      </c>
      <c r="F6" s="10">
        <v>17</v>
      </c>
      <c r="G6" s="10" t="s">
        <v>82</v>
      </c>
      <c r="H6" s="11">
        <f>VLOOKUP(C6,'Stok Barang'!$A:$I,9,0)</f>
        <v>12000</v>
      </c>
      <c r="I6" s="11">
        <f t="shared" si="0"/>
        <v>204000</v>
      </c>
      <c r="J6" s="16" t="s">
        <v>89</v>
      </c>
    </row>
    <row r="7" spans="1:10" x14ac:dyDescent="0.25">
      <c r="A7" s="7" t="s">
        <v>92</v>
      </c>
      <c r="B7" s="7" t="s">
        <v>93</v>
      </c>
      <c r="C7" s="7" t="s">
        <v>73</v>
      </c>
      <c r="D7" s="14" t="s">
        <v>74</v>
      </c>
      <c r="E7" s="18" t="s">
        <v>11</v>
      </c>
      <c r="F7" s="7">
        <v>9</v>
      </c>
      <c r="G7" s="7" t="s">
        <v>82</v>
      </c>
      <c r="H7" s="8">
        <f>VLOOKUP(C7,'Stok Barang'!$A:$I,9,0)</f>
        <v>38000</v>
      </c>
      <c r="I7" s="8">
        <f t="shared" si="0"/>
        <v>342000</v>
      </c>
      <c r="J7" s="14" t="s">
        <v>86</v>
      </c>
    </row>
    <row r="8" spans="1:10" x14ac:dyDescent="0.25">
      <c r="A8" s="10" t="s">
        <v>94</v>
      </c>
      <c r="B8" s="10" t="s">
        <v>95</v>
      </c>
      <c r="C8" s="10" t="s">
        <v>47</v>
      </c>
      <c r="D8" s="16" t="s">
        <v>48</v>
      </c>
      <c r="E8" s="19" t="s">
        <v>9</v>
      </c>
      <c r="F8" s="10">
        <v>2</v>
      </c>
      <c r="G8" s="10" t="s">
        <v>82</v>
      </c>
      <c r="H8" s="11">
        <f>VLOOKUP(C8,'Stok Barang'!$A:$I,9,0)</f>
        <v>95000</v>
      </c>
      <c r="I8" s="11">
        <f t="shared" si="0"/>
        <v>190000</v>
      </c>
      <c r="J8" s="16" t="s">
        <v>96</v>
      </c>
    </row>
    <row r="9" spans="1:10" x14ac:dyDescent="0.25">
      <c r="A9" s="7" t="s">
        <v>97</v>
      </c>
      <c r="B9" s="7" t="s">
        <v>98</v>
      </c>
      <c r="C9" s="7" t="s">
        <v>34</v>
      </c>
      <c r="D9" s="14" t="s">
        <v>35</v>
      </c>
      <c r="E9" s="18" t="s">
        <v>11</v>
      </c>
      <c r="F9" s="7">
        <v>4</v>
      </c>
      <c r="G9" s="7" t="s">
        <v>82</v>
      </c>
      <c r="H9" s="8">
        <f>VLOOKUP(C9,'Stok Barang'!$A:$I,9,0)</f>
        <v>24000</v>
      </c>
      <c r="I9" s="8">
        <f t="shared" si="0"/>
        <v>96000</v>
      </c>
      <c r="J9" s="14" t="s">
        <v>99</v>
      </c>
    </row>
    <row r="10" spans="1:10" x14ac:dyDescent="0.25">
      <c r="A10" s="10" t="s">
        <v>100</v>
      </c>
      <c r="B10" s="10" t="s">
        <v>101</v>
      </c>
      <c r="C10" s="10" t="s">
        <v>49</v>
      </c>
      <c r="D10" s="16" t="s">
        <v>50</v>
      </c>
      <c r="E10" s="12" t="s">
        <v>11</v>
      </c>
      <c r="F10" s="10">
        <v>1</v>
      </c>
      <c r="G10" s="10" t="s">
        <v>82</v>
      </c>
      <c r="H10" s="11">
        <f>VLOOKUP(C10,'Stok Barang'!$A:$I,9,0)</f>
        <v>65000</v>
      </c>
      <c r="I10" s="11">
        <f t="shared" si="0"/>
        <v>65000</v>
      </c>
      <c r="J10" s="16" t="s">
        <v>86</v>
      </c>
    </row>
    <row r="11" spans="1:10" x14ac:dyDescent="0.25">
      <c r="A11" s="7" t="s">
        <v>102</v>
      </c>
      <c r="B11" s="7" t="s">
        <v>103</v>
      </c>
      <c r="C11" s="7" t="s">
        <v>52</v>
      </c>
      <c r="D11" s="14" t="s">
        <v>53</v>
      </c>
      <c r="E11" s="18" t="s">
        <v>11</v>
      </c>
      <c r="F11" s="7">
        <v>13</v>
      </c>
      <c r="G11" s="7" t="s">
        <v>82</v>
      </c>
      <c r="H11" s="8">
        <f>VLOOKUP(C11,'Stok Barang'!$A:$I,9,0)</f>
        <v>75000</v>
      </c>
      <c r="I11" s="8">
        <f t="shared" si="0"/>
        <v>975000</v>
      </c>
      <c r="J11" s="14" t="s">
        <v>99</v>
      </c>
    </row>
    <row r="12" spans="1:10" x14ac:dyDescent="0.25">
      <c r="A12" s="10" t="s">
        <v>104</v>
      </c>
      <c r="B12" s="10" t="s">
        <v>103</v>
      </c>
      <c r="C12" s="10" t="s">
        <v>37</v>
      </c>
      <c r="D12" s="16" t="s">
        <v>38</v>
      </c>
      <c r="E12" s="19" t="s">
        <v>9</v>
      </c>
      <c r="F12" s="10">
        <v>12</v>
      </c>
      <c r="G12" s="10" t="s">
        <v>82</v>
      </c>
      <c r="H12" s="11">
        <f>VLOOKUP(C12,'Stok Barang'!$A:$I,9,0)</f>
        <v>35000</v>
      </c>
      <c r="I12" s="11">
        <f t="shared" si="0"/>
        <v>420000</v>
      </c>
      <c r="J12" s="16" t="s">
        <v>105</v>
      </c>
    </row>
    <row r="13" spans="1:10" x14ac:dyDescent="0.25">
      <c r="A13" s="7" t="s">
        <v>106</v>
      </c>
      <c r="B13" s="7" t="s">
        <v>107</v>
      </c>
      <c r="C13" s="7" t="s">
        <v>40</v>
      </c>
      <c r="D13" s="14" t="s">
        <v>41</v>
      </c>
      <c r="E13" s="9" t="s">
        <v>9</v>
      </c>
      <c r="F13" s="7">
        <v>4</v>
      </c>
      <c r="G13" s="7" t="s">
        <v>82</v>
      </c>
      <c r="H13" s="8">
        <f>VLOOKUP(C13,'Stok Barang'!$A:$I,9,0)</f>
        <v>28000</v>
      </c>
      <c r="I13" s="8">
        <f t="shared" si="0"/>
        <v>112000</v>
      </c>
      <c r="J13" s="14" t="s">
        <v>105</v>
      </c>
    </row>
    <row r="14" spans="1:10" x14ac:dyDescent="0.25">
      <c r="A14" s="10" t="s">
        <v>108</v>
      </c>
      <c r="B14" s="10" t="s">
        <v>109</v>
      </c>
      <c r="C14" s="10" t="s">
        <v>61</v>
      </c>
      <c r="D14" s="16" t="s">
        <v>62</v>
      </c>
      <c r="E14" s="12" t="s">
        <v>11</v>
      </c>
      <c r="F14" s="10">
        <v>12</v>
      </c>
      <c r="G14" s="10" t="s">
        <v>82</v>
      </c>
      <c r="H14" s="11">
        <f>VLOOKUP(C14,'Stok Barang'!$A:$I,9,0)</f>
        <v>12000</v>
      </c>
      <c r="I14" s="11">
        <f t="shared" si="0"/>
        <v>144000</v>
      </c>
      <c r="J14" s="16" t="s">
        <v>99</v>
      </c>
    </row>
    <row r="15" spans="1:10" x14ac:dyDescent="0.25">
      <c r="A15" s="7" t="s">
        <v>110</v>
      </c>
      <c r="B15" s="7" t="s">
        <v>103</v>
      </c>
      <c r="C15" s="7" t="s">
        <v>58</v>
      </c>
      <c r="D15" s="14" t="s">
        <v>59</v>
      </c>
      <c r="E15" s="18" t="s">
        <v>11</v>
      </c>
      <c r="F15" s="7">
        <v>20</v>
      </c>
      <c r="G15" s="7" t="s">
        <v>82</v>
      </c>
      <c r="H15" s="8">
        <f>VLOOKUP(C15,'Stok Barang'!$A:$I,9,0)</f>
        <v>18000</v>
      </c>
      <c r="I15" s="8">
        <f t="shared" si="0"/>
        <v>360000</v>
      </c>
      <c r="J15" s="14" t="s">
        <v>111</v>
      </c>
    </row>
    <row r="16" spans="1:10" x14ac:dyDescent="0.25">
      <c r="A16" s="10" t="s">
        <v>112</v>
      </c>
      <c r="B16" s="10" t="s">
        <v>81</v>
      </c>
      <c r="C16" s="10" t="s">
        <v>69</v>
      </c>
      <c r="D16" s="16" t="s">
        <v>70</v>
      </c>
      <c r="E16" s="12" t="s">
        <v>11</v>
      </c>
      <c r="F16" s="10">
        <v>10</v>
      </c>
      <c r="G16" s="10" t="s">
        <v>82</v>
      </c>
      <c r="H16" s="11">
        <f>VLOOKUP(C16,'Stok Barang'!$A:$I,9,0)</f>
        <v>285000</v>
      </c>
      <c r="I16" s="11">
        <f t="shared" si="0"/>
        <v>2850000</v>
      </c>
      <c r="J16" s="16" t="s">
        <v>89</v>
      </c>
    </row>
    <row r="17" spans="1:10" x14ac:dyDescent="0.25">
      <c r="A17" s="7" t="s">
        <v>113</v>
      </c>
      <c r="B17" s="7" t="s">
        <v>114</v>
      </c>
      <c r="C17" s="7" t="s">
        <v>65</v>
      </c>
      <c r="D17" s="14" t="s">
        <v>66</v>
      </c>
      <c r="E17" s="18" t="s">
        <v>11</v>
      </c>
      <c r="F17" s="7">
        <v>13</v>
      </c>
      <c r="G17" s="7" t="s">
        <v>82</v>
      </c>
      <c r="H17" s="8">
        <f>VLOOKUP(C17,'Stok Barang'!$A:$I,9,0)</f>
        <v>35000</v>
      </c>
      <c r="I17" s="8">
        <f t="shared" si="0"/>
        <v>455000</v>
      </c>
      <c r="J17" s="14" t="s">
        <v>89</v>
      </c>
    </row>
    <row r="18" spans="1:10" x14ac:dyDescent="0.25">
      <c r="A18" s="10" t="s">
        <v>115</v>
      </c>
      <c r="B18" s="10" t="s">
        <v>103</v>
      </c>
      <c r="C18" s="10" t="s">
        <v>47</v>
      </c>
      <c r="D18" s="16" t="s">
        <v>48</v>
      </c>
      <c r="E18" s="19" t="s">
        <v>9</v>
      </c>
      <c r="F18" s="10">
        <v>18</v>
      </c>
      <c r="G18" s="10" t="s">
        <v>82</v>
      </c>
      <c r="H18" s="11">
        <f>VLOOKUP(C18,'Stok Barang'!$A:$I,9,0)</f>
        <v>95000</v>
      </c>
      <c r="I18" s="11">
        <f t="shared" si="0"/>
        <v>1710000</v>
      </c>
      <c r="J18" s="16" t="s">
        <v>83</v>
      </c>
    </row>
    <row r="19" spans="1:10" x14ac:dyDescent="0.25">
      <c r="A19" s="7" t="s">
        <v>116</v>
      </c>
      <c r="B19" s="7" t="s">
        <v>88</v>
      </c>
      <c r="C19" s="7" t="s">
        <v>42</v>
      </c>
      <c r="D19" s="14" t="s">
        <v>43</v>
      </c>
      <c r="E19" s="18" t="s">
        <v>11</v>
      </c>
      <c r="F19" s="7">
        <v>20</v>
      </c>
      <c r="G19" s="7" t="s">
        <v>82</v>
      </c>
      <c r="H19" s="8">
        <f>VLOOKUP(C19,'Stok Barang'!$A:$I,9,0)</f>
        <v>85000</v>
      </c>
      <c r="I19" s="8">
        <f t="shared" si="0"/>
        <v>1700000</v>
      </c>
      <c r="J19" s="14" t="s">
        <v>89</v>
      </c>
    </row>
    <row r="20" spans="1:10" x14ac:dyDescent="0.25">
      <c r="A20" s="10" t="s">
        <v>117</v>
      </c>
      <c r="B20" s="10" t="s">
        <v>118</v>
      </c>
      <c r="C20" s="10" t="s">
        <v>34</v>
      </c>
      <c r="D20" s="16" t="s">
        <v>35</v>
      </c>
      <c r="E20" s="12" t="s">
        <v>11</v>
      </c>
      <c r="F20" s="10">
        <v>10</v>
      </c>
      <c r="G20" s="10" t="s">
        <v>82</v>
      </c>
      <c r="H20" s="11">
        <f>VLOOKUP(C20,'Stok Barang'!$A:$I,9,0)</f>
        <v>24000</v>
      </c>
      <c r="I20" s="11">
        <f t="shared" si="0"/>
        <v>240000</v>
      </c>
      <c r="J20" s="16" t="s">
        <v>111</v>
      </c>
    </row>
    <row r="21" spans="1:10" x14ac:dyDescent="0.25">
      <c r="A21" s="7" t="s">
        <v>119</v>
      </c>
      <c r="B21" s="7" t="s">
        <v>120</v>
      </c>
      <c r="C21" s="7" t="s">
        <v>67</v>
      </c>
      <c r="D21" s="14" t="s">
        <v>68</v>
      </c>
      <c r="E21" s="18" t="s">
        <v>11</v>
      </c>
      <c r="F21" s="7">
        <v>9</v>
      </c>
      <c r="G21" s="7" t="s">
        <v>82</v>
      </c>
      <c r="H21" s="8">
        <f>VLOOKUP(C21,'Stok Barang'!$A:$I,9,0)</f>
        <v>175000</v>
      </c>
      <c r="I21" s="8">
        <f t="shared" si="0"/>
        <v>1575000</v>
      </c>
      <c r="J21" s="14" t="s">
        <v>86</v>
      </c>
    </row>
    <row r="22" spans="1:10" x14ac:dyDescent="0.25">
      <c r="A22" s="10" t="s">
        <v>121</v>
      </c>
      <c r="B22" s="10" t="s">
        <v>95</v>
      </c>
      <c r="C22" s="10" t="s">
        <v>65</v>
      </c>
      <c r="D22" s="16" t="s">
        <v>66</v>
      </c>
      <c r="E22" s="12" t="s">
        <v>11</v>
      </c>
      <c r="F22" s="10">
        <v>1</v>
      </c>
      <c r="G22" s="10" t="s">
        <v>82</v>
      </c>
      <c r="H22" s="11">
        <f>VLOOKUP(C22,'Stok Barang'!$A:$I,9,0)</f>
        <v>35000</v>
      </c>
      <c r="I22" s="11">
        <f t="shared" si="0"/>
        <v>35000</v>
      </c>
      <c r="J22" s="16" t="s">
        <v>111</v>
      </c>
    </row>
    <row r="23" spans="1:10" x14ac:dyDescent="0.25">
      <c r="A23" s="7" t="s">
        <v>122</v>
      </c>
      <c r="B23" s="7" t="s">
        <v>123</v>
      </c>
      <c r="C23" s="7" t="s">
        <v>54</v>
      </c>
      <c r="D23" s="14" t="s">
        <v>55</v>
      </c>
      <c r="E23" s="9" t="s">
        <v>9</v>
      </c>
      <c r="F23" s="7">
        <v>4</v>
      </c>
      <c r="G23" s="7" t="s">
        <v>82</v>
      </c>
      <c r="H23" s="8">
        <f>VLOOKUP(C23,'Stok Barang'!$A:$I,9,0)</f>
        <v>15000</v>
      </c>
      <c r="I23" s="8">
        <f t="shared" si="0"/>
        <v>60000</v>
      </c>
      <c r="J23" s="14" t="s">
        <v>83</v>
      </c>
    </row>
    <row r="24" spans="1:10" x14ac:dyDescent="0.25">
      <c r="A24" s="10" t="s">
        <v>124</v>
      </c>
      <c r="B24" s="10" t="s">
        <v>88</v>
      </c>
      <c r="C24" s="10" t="s">
        <v>73</v>
      </c>
      <c r="D24" s="16" t="s">
        <v>74</v>
      </c>
      <c r="E24" s="12" t="s">
        <v>11</v>
      </c>
      <c r="F24" s="10">
        <v>20</v>
      </c>
      <c r="G24" s="10" t="s">
        <v>82</v>
      </c>
      <c r="H24" s="11">
        <f>VLOOKUP(C24,'Stok Barang'!$A:$I,9,0)</f>
        <v>38000</v>
      </c>
      <c r="I24" s="11">
        <f t="shared" si="0"/>
        <v>760000</v>
      </c>
      <c r="J24" s="16" t="s">
        <v>111</v>
      </c>
    </row>
    <row r="25" spans="1:10" x14ac:dyDescent="0.25">
      <c r="A25" s="7" t="s">
        <v>125</v>
      </c>
      <c r="B25" s="7" t="s">
        <v>126</v>
      </c>
      <c r="C25" s="7" t="s">
        <v>61</v>
      </c>
      <c r="D25" s="14" t="s">
        <v>62</v>
      </c>
      <c r="E25" s="18" t="s">
        <v>11</v>
      </c>
      <c r="F25" s="7">
        <v>11</v>
      </c>
      <c r="G25" s="7" t="s">
        <v>82</v>
      </c>
      <c r="H25" s="8">
        <f>VLOOKUP(C25,'Stok Barang'!$A:$I,9,0)</f>
        <v>12000</v>
      </c>
      <c r="I25" s="8">
        <f t="shared" si="0"/>
        <v>132000</v>
      </c>
      <c r="J25" s="14" t="s">
        <v>86</v>
      </c>
    </row>
    <row r="26" spans="1:10" x14ac:dyDescent="0.25">
      <c r="A26" s="10" t="s">
        <v>127</v>
      </c>
      <c r="B26" s="10" t="s">
        <v>103</v>
      </c>
      <c r="C26" s="10" t="s">
        <v>67</v>
      </c>
      <c r="D26" s="16" t="s">
        <v>68</v>
      </c>
      <c r="E26" s="19" t="s">
        <v>9</v>
      </c>
      <c r="F26" s="10">
        <v>1</v>
      </c>
      <c r="G26" s="10" t="s">
        <v>82</v>
      </c>
      <c r="H26" s="11">
        <f>VLOOKUP(C26,'Stok Barang'!$A:$I,9,0)</f>
        <v>175000</v>
      </c>
      <c r="I26" s="11">
        <f t="shared" si="0"/>
        <v>175000</v>
      </c>
      <c r="J26" s="16" t="s">
        <v>96</v>
      </c>
    </row>
    <row r="27" spans="1:10" x14ac:dyDescent="0.25">
      <c r="A27" s="7" t="s">
        <v>128</v>
      </c>
      <c r="B27" s="7" t="s">
        <v>107</v>
      </c>
      <c r="C27" s="7" t="s">
        <v>49</v>
      </c>
      <c r="D27" s="14" t="s">
        <v>50</v>
      </c>
      <c r="E27" s="18" t="s">
        <v>11</v>
      </c>
      <c r="F27" s="7">
        <v>3</v>
      </c>
      <c r="G27" s="7" t="s">
        <v>82</v>
      </c>
      <c r="H27" s="8">
        <f>VLOOKUP(C27,'Stok Barang'!$A:$I,9,0)</f>
        <v>65000</v>
      </c>
      <c r="I27" s="8">
        <f t="shared" si="0"/>
        <v>195000</v>
      </c>
      <c r="J27" s="14" t="s">
        <v>89</v>
      </c>
    </row>
    <row r="28" spans="1:10" x14ac:dyDescent="0.25">
      <c r="A28" s="10" t="s">
        <v>129</v>
      </c>
      <c r="B28" s="10" t="s">
        <v>98</v>
      </c>
      <c r="C28" s="10" t="s">
        <v>45</v>
      </c>
      <c r="D28" s="16" t="s">
        <v>46</v>
      </c>
      <c r="E28" s="19" t="s">
        <v>9</v>
      </c>
      <c r="F28" s="10">
        <v>20</v>
      </c>
      <c r="G28" s="10" t="s">
        <v>82</v>
      </c>
      <c r="H28" s="11">
        <f>VLOOKUP(C28,'Stok Barang'!$A:$I,9,0)</f>
        <v>120000</v>
      </c>
      <c r="I28" s="11">
        <f t="shared" si="0"/>
        <v>2400000</v>
      </c>
      <c r="J28" s="16" t="s">
        <v>105</v>
      </c>
    </row>
    <row r="29" spans="1:10" x14ac:dyDescent="0.25">
      <c r="A29" s="7" t="s">
        <v>130</v>
      </c>
      <c r="B29" s="7" t="s">
        <v>131</v>
      </c>
      <c r="C29" s="7" t="s">
        <v>28</v>
      </c>
      <c r="D29" s="14" t="s">
        <v>29</v>
      </c>
      <c r="E29" s="18" t="s">
        <v>11</v>
      </c>
      <c r="F29" s="7">
        <v>14</v>
      </c>
      <c r="G29" s="7" t="s">
        <v>82</v>
      </c>
      <c r="H29" s="8">
        <f>VLOOKUP(C29,'Stok Barang'!$A:$I,9,0)</f>
        <v>52000</v>
      </c>
      <c r="I29" s="8">
        <f t="shared" si="0"/>
        <v>728000</v>
      </c>
      <c r="J29" s="14" t="s">
        <v>111</v>
      </c>
    </row>
    <row r="30" spans="1:10" x14ac:dyDescent="0.25">
      <c r="A30" s="10" t="s">
        <v>132</v>
      </c>
      <c r="B30" s="10" t="s">
        <v>114</v>
      </c>
      <c r="C30" s="10" t="s">
        <v>40</v>
      </c>
      <c r="D30" s="16" t="s">
        <v>41</v>
      </c>
      <c r="E30" s="12" t="s">
        <v>11</v>
      </c>
      <c r="F30" s="10">
        <v>1</v>
      </c>
      <c r="G30" s="10" t="s">
        <v>82</v>
      </c>
      <c r="H30" s="11">
        <f>VLOOKUP(C30,'Stok Barang'!$A:$I,9,0)</f>
        <v>28000</v>
      </c>
      <c r="I30" s="11">
        <f t="shared" si="0"/>
        <v>28000</v>
      </c>
      <c r="J30" s="16" t="s">
        <v>99</v>
      </c>
    </row>
    <row r="31" spans="1:10" x14ac:dyDescent="0.25">
      <c r="A31" s="7" t="s">
        <v>133</v>
      </c>
      <c r="B31" s="7" t="s">
        <v>134</v>
      </c>
      <c r="C31" s="7" t="s">
        <v>31</v>
      </c>
      <c r="D31" s="14" t="s">
        <v>32</v>
      </c>
      <c r="E31" s="9" t="s">
        <v>9</v>
      </c>
      <c r="F31" s="7">
        <v>19</v>
      </c>
      <c r="G31" s="7" t="s">
        <v>82</v>
      </c>
      <c r="H31" s="8">
        <f>VLOOKUP(C31,'Stok Barang'!$A:$I,9,0)</f>
        <v>18000</v>
      </c>
      <c r="I31" s="8">
        <f t="shared" si="0"/>
        <v>342000</v>
      </c>
      <c r="J31" s="14" t="s">
        <v>83</v>
      </c>
    </row>
    <row r="32" spans="1:10" x14ac:dyDescent="0.25">
      <c r="A32" s="10" t="s">
        <v>135</v>
      </c>
      <c r="B32" s="10" t="s">
        <v>136</v>
      </c>
      <c r="C32" s="10" t="s">
        <v>37</v>
      </c>
      <c r="D32" s="16" t="s">
        <v>38</v>
      </c>
      <c r="E32" s="12" t="s">
        <v>11</v>
      </c>
      <c r="F32" s="10">
        <v>12</v>
      </c>
      <c r="G32" s="10" t="s">
        <v>82</v>
      </c>
      <c r="H32" s="11">
        <f>VLOOKUP(C32,'Stok Barang'!$A:$I,9,0)</f>
        <v>35000</v>
      </c>
      <c r="I32" s="11">
        <f t="shared" si="0"/>
        <v>420000</v>
      </c>
      <c r="J32" s="16" t="s">
        <v>137</v>
      </c>
    </row>
    <row r="33" spans="1:10" x14ac:dyDescent="0.25">
      <c r="A33" s="7" t="s">
        <v>138</v>
      </c>
      <c r="B33" s="7" t="s">
        <v>139</v>
      </c>
      <c r="C33" s="7" t="s">
        <v>52</v>
      </c>
      <c r="D33" s="14" t="s">
        <v>53</v>
      </c>
      <c r="E33" s="9" t="s">
        <v>9</v>
      </c>
      <c r="F33" s="7">
        <v>1</v>
      </c>
      <c r="G33" s="7" t="s">
        <v>82</v>
      </c>
      <c r="H33" s="8">
        <f>VLOOKUP(C33,'Stok Barang'!$A:$I,9,0)</f>
        <v>75000</v>
      </c>
      <c r="I33" s="8">
        <f t="shared" si="0"/>
        <v>75000</v>
      </c>
      <c r="J33" s="14" t="s">
        <v>96</v>
      </c>
    </row>
    <row r="34" spans="1:10" x14ac:dyDescent="0.25">
      <c r="A34" s="10" t="s">
        <v>140</v>
      </c>
      <c r="B34" s="10" t="s">
        <v>139</v>
      </c>
      <c r="C34" s="10" t="s">
        <v>52</v>
      </c>
      <c r="D34" s="16" t="s">
        <v>53</v>
      </c>
      <c r="E34" s="12" t="s">
        <v>11</v>
      </c>
      <c r="F34" s="10">
        <v>11</v>
      </c>
      <c r="G34" s="10" t="s">
        <v>82</v>
      </c>
      <c r="H34" s="11">
        <f>VLOOKUP(C34,'Stok Barang'!$A:$I,9,0)</f>
        <v>75000</v>
      </c>
      <c r="I34" s="11">
        <f t="shared" si="0"/>
        <v>825000</v>
      </c>
      <c r="J34" s="16" t="s">
        <v>86</v>
      </c>
    </row>
    <row r="35" spans="1:10" x14ac:dyDescent="0.25">
      <c r="A35" s="7" t="s">
        <v>141</v>
      </c>
      <c r="B35" s="7" t="s">
        <v>142</v>
      </c>
      <c r="C35" s="7" t="s">
        <v>54</v>
      </c>
      <c r="D35" s="14" t="s">
        <v>55</v>
      </c>
      <c r="E35" s="9" t="s">
        <v>9</v>
      </c>
      <c r="F35" s="7">
        <v>11</v>
      </c>
      <c r="G35" s="7" t="s">
        <v>82</v>
      </c>
      <c r="H35" s="8">
        <f>VLOOKUP(C35,'Stok Barang'!$A:$I,9,0)</f>
        <v>15000</v>
      </c>
      <c r="I35" s="8">
        <f t="shared" ref="I35:I66" si="1">F35*H35</f>
        <v>165000</v>
      </c>
      <c r="J35" s="14" t="s">
        <v>96</v>
      </c>
    </row>
    <row r="36" spans="1:10" x14ac:dyDescent="0.25">
      <c r="A36" s="10" t="s">
        <v>143</v>
      </c>
      <c r="B36" s="10" t="s">
        <v>95</v>
      </c>
      <c r="C36" s="10" t="s">
        <v>63</v>
      </c>
      <c r="D36" s="16" t="s">
        <v>64</v>
      </c>
      <c r="E36" s="12" t="s">
        <v>11</v>
      </c>
      <c r="F36" s="10">
        <v>7</v>
      </c>
      <c r="G36" s="10" t="s">
        <v>82</v>
      </c>
      <c r="H36" s="11">
        <f>VLOOKUP(C36,'Stok Barang'!$A:$I,9,0)</f>
        <v>45000</v>
      </c>
      <c r="I36" s="11">
        <f t="shared" si="1"/>
        <v>315000</v>
      </c>
      <c r="J36" s="16" t="s">
        <v>86</v>
      </c>
    </row>
    <row r="37" spans="1:10" x14ac:dyDescent="0.25">
      <c r="A37" s="7" t="s">
        <v>144</v>
      </c>
      <c r="B37" s="7" t="s">
        <v>98</v>
      </c>
      <c r="C37" s="7" t="s">
        <v>40</v>
      </c>
      <c r="D37" s="14" t="s">
        <v>41</v>
      </c>
      <c r="E37" s="18" t="s">
        <v>11</v>
      </c>
      <c r="F37" s="7">
        <v>4</v>
      </c>
      <c r="G37" s="7" t="s">
        <v>82</v>
      </c>
      <c r="H37" s="8">
        <f>VLOOKUP(C37,'Stok Barang'!$A:$I,9,0)</f>
        <v>28000</v>
      </c>
      <c r="I37" s="8">
        <f t="shared" si="1"/>
        <v>112000</v>
      </c>
      <c r="J37" s="14" t="s">
        <v>137</v>
      </c>
    </row>
    <row r="38" spans="1:10" x14ac:dyDescent="0.25">
      <c r="A38" s="10" t="s">
        <v>145</v>
      </c>
      <c r="B38" s="10" t="s">
        <v>101</v>
      </c>
      <c r="C38" s="10" t="s">
        <v>40</v>
      </c>
      <c r="D38" s="16" t="s">
        <v>41</v>
      </c>
      <c r="E38" s="19" t="s">
        <v>9</v>
      </c>
      <c r="F38" s="10">
        <v>16</v>
      </c>
      <c r="G38" s="10" t="s">
        <v>82</v>
      </c>
      <c r="H38" s="11">
        <f>VLOOKUP(C38,'Stok Barang'!$A:$I,9,0)</f>
        <v>28000</v>
      </c>
      <c r="I38" s="11">
        <f t="shared" si="1"/>
        <v>448000</v>
      </c>
      <c r="J38" s="16" t="s">
        <v>96</v>
      </c>
    </row>
    <row r="39" spans="1:10" x14ac:dyDescent="0.25">
      <c r="A39" s="7" t="s">
        <v>146</v>
      </c>
      <c r="B39" s="7" t="s">
        <v>134</v>
      </c>
      <c r="C39" s="7" t="s">
        <v>54</v>
      </c>
      <c r="D39" s="14" t="s">
        <v>55</v>
      </c>
      <c r="E39" s="9" t="s">
        <v>9</v>
      </c>
      <c r="F39" s="7">
        <v>1</v>
      </c>
      <c r="G39" s="7" t="s">
        <v>82</v>
      </c>
      <c r="H39" s="8">
        <f>VLOOKUP(C39,'Stok Barang'!$A:$I,9,0)</f>
        <v>15000</v>
      </c>
      <c r="I39" s="8">
        <f t="shared" si="1"/>
        <v>15000</v>
      </c>
      <c r="J39" s="14" t="s">
        <v>105</v>
      </c>
    </row>
    <row r="40" spans="1:10" x14ac:dyDescent="0.25">
      <c r="A40" s="10" t="s">
        <v>147</v>
      </c>
      <c r="B40" s="10" t="s">
        <v>107</v>
      </c>
      <c r="C40" s="10" t="s">
        <v>40</v>
      </c>
      <c r="D40" s="16" t="s">
        <v>41</v>
      </c>
      <c r="E40" s="12" t="s">
        <v>11</v>
      </c>
      <c r="F40" s="10">
        <v>6</v>
      </c>
      <c r="G40" s="10" t="s">
        <v>82</v>
      </c>
      <c r="H40" s="11">
        <f>VLOOKUP(C40,'Stok Barang'!$A:$I,9,0)</f>
        <v>28000</v>
      </c>
      <c r="I40" s="11">
        <f t="shared" si="1"/>
        <v>168000</v>
      </c>
      <c r="J40" s="16" t="s">
        <v>111</v>
      </c>
    </row>
    <row r="41" spans="1:10" x14ac:dyDescent="0.25">
      <c r="A41" s="7" t="s">
        <v>148</v>
      </c>
      <c r="B41" s="7" t="s">
        <v>136</v>
      </c>
      <c r="C41" s="7" t="s">
        <v>52</v>
      </c>
      <c r="D41" s="14" t="s">
        <v>53</v>
      </c>
      <c r="E41" s="18" t="s">
        <v>11</v>
      </c>
      <c r="F41" s="7">
        <v>1</v>
      </c>
      <c r="G41" s="7" t="s">
        <v>82</v>
      </c>
      <c r="H41" s="8">
        <f>VLOOKUP(C41,'Stok Barang'!$A:$I,9,0)</f>
        <v>75000</v>
      </c>
      <c r="I41" s="8">
        <f t="shared" si="1"/>
        <v>75000</v>
      </c>
      <c r="J41" s="14" t="s">
        <v>137</v>
      </c>
    </row>
    <row r="42" spans="1:10" x14ac:dyDescent="0.25">
      <c r="A42" s="10" t="s">
        <v>149</v>
      </c>
      <c r="B42" s="10" t="s">
        <v>150</v>
      </c>
      <c r="C42" s="10" t="s">
        <v>58</v>
      </c>
      <c r="D42" s="16" t="s">
        <v>59</v>
      </c>
      <c r="E42" s="12" t="s">
        <v>11</v>
      </c>
      <c r="F42" s="10">
        <v>10</v>
      </c>
      <c r="G42" s="10" t="s">
        <v>82</v>
      </c>
      <c r="H42" s="11">
        <f>VLOOKUP(C42,'Stok Barang'!$A:$I,9,0)</f>
        <v>18000</v>
      </c>
      <c r="I42" s="11">
        <f t="shared" si="1"/>
        <v>180000</v>
      </c>
      <c r="J42" s="16" t="s">
        <v>99</v>
      </c>
    </row>
    <row r="43" spans="1:10" x14ac:dyDescent="0.25">
      <c r="A43" s="7" t="s">
        <v>151</v>
      </c>
      <c r="B43" s="7" t="s">
        <v>95</v>
      </c>
      <c r="C43" s="7" t="s">
        <v>31</v>
      </c>
      <c r="D43" s="14" t="s">
        <v>32</v>
      </c>
      <c r="E43" s="18" t="s">
        <v>11</v>
      </c>
      <c r="F43" s="7">
        <v>6</v>
      </c>
      <c r="G43" s="7" t="s">
        <v>82</v>
      </c>
      <c r="H43" s="8">
        <f>VLOOKUP(C43,'Stok Barang'!$A:$I,9,0)</f>
        <v>18000</v>
      </c>
      <c r="I43" s="8">
        <f t="shared" si="1"/>
        <v>108000</v>
      </c>
      <c r="J43" s="14" t="s">
        <v>89</v>
      </c>
    </row>
    <row r="44" spans="1:10" x14ac:dyDescent="0.25">
      <c r="A44" s="10" t="s">
        <v>152</v>
      </c>
      <c r="B44" s="10" t="s">
        <v>153</v>
      </c>
      <c r="C44" s="10" t="s">
        <v>34</v>
      </c>
      <c r="D44" s="16" t="s">
        <v>35</v>
      </c>
      <c r="E44" s="19" t="s">
        <v>9</v>
      </c>
      <c r="F44" s="10">
        <v>7</v>
      </c>
      <c r="G44" s="10" t="s">
        <v>82</v>
      </c>
      <c r="H44" s="11">
        <f>VLOOKUP(C44,'Stok Barang'!$A:$I,9,0)</f>
        <v>24000</v>
      </c>
      <c r="I44" s="11">
        <f t="shared" si="1"/>
        <v>168000</v>
      </c>
      <c r="J44" s="16" t="s">
        <v>96</v>
      </c>
    </row>
    <row r="45" spans="1:10" x14ac:dyDescent="0.25">
      <c r="A45" s="7" t="s">
        <v>154</v>
      </c>
      <c r="B45" s="7" t="s">
        <v>136</v>
      </c>
      <c r="C45" s="7" t="s">
        <v>58</v>
      </c>
      <c r="D45" s="14" t="s">
        <v>59</v>
      </c>
      <c r="E45" s="9" t="s">
        <v>9</v>
      </c>
      <c r="F45" s="7">
        <v>8</v>
      </c>
      <c r="G45" s="7" t="s">
        <v>82</v>
      </c>
      <c r="H45" s="8">
        <f>VLOOKUP(C45,'Stok Barang'!$A:$I,9,0)</f>
        <v>18000</v>
      </c>
      <c r="I45" s="8">
        <f t="shared" si="1"/>
        <v>144000</v>
      </c>
      <c r="J45" s="14" t="s">
        <v>83</v>
      </c>
    </row>
    <row r="46" spans="1:10" x14ac:dyDescent="0.25">
      <c r="A46" s="10" t="s">
        <v>155</v>
      </c>
      <c r="B46" s="10" t="s">
        <v>156</v>
      </c>
      <c r="C46" s="10" t="s">
        <v>58</v>
      </c>
      <c r="D46" s="16" t="s">
        <v>59</v>
      </c>
      <c r="E46" s="12" t="s">
        <v>11</v>
      </c>
      <c r="F46" s="10">
        <v>3</v>
      </c>
      <c r="G46" s="10" t="s">
        <v>82</v>
      </c>
      <c r="H46" s="11">
        <f>VLOOKUP(C46,'Stok Barang'!$A:$I,9,0)</f>
        <v>18000</v>
      </c>
      <c r="I46" s="11">
        <f t="shared" si="1"/>
        <v>54000</v>
      </c>
      <c r="J46" s="16" t="s">
        <v>137</v>
      </c>
    </row>
    <row r="47" spans="1:10" x14ac:dyDescent="0.25">
      <c r="A47" s="7" t="s">
        <v>157</v>
      </c>
      <c r="B47" s="7" t="s">
        <v>98</v>
      </c>
      <c r="C47" s="7" t="s">
        <v>45</v>
      </c>
      <c r="D47" s="14" t="s">
        <v>46</v>
      </c>
      <c r="E47" s="18" t="s">
        <v>11</v>
      </c>
      <c r="F47" s="7">
        <v>10</v>
      </c>
      <c r="G47" s="7" t="s">
        <v>82</v>
      </c>
      <c r="H47" s="8">
        <f>VLOOKUP(C47,'Stok Barang'!$A:$I,9,0)</f>
        <v>120000</v>
      </c>
      <c r="I47" s="8">
        <f t="shared" si="1"/>
        <v>1200000</v>
      </c>
      <c r="J47" s="14" t="s">
        <v>137</v>
      </c>
    </row>
    <row r="48" spans="1:10" x14ac:dyDescent="0.25">
      <c r="A48" s="10" t="s">
        <v>158</v>
      </c>
      <c r="B48" s="10" t="s">
        <v>131</v>
      </c>
      <c r="C48" s="10" t="s">
        <v>52</v>
      </c>
      <c r="D48" s="16" t="s">
        <v>53</v>
      </c>
      <c r="E48" s="12" t="s">
        <v>11</v>
      </c>
      <c r="F48" s="10">
        <v>8</v>
      </c>
      <c r="G48" s="10" t="s">
        <v>82</v>
      </c>
      <c r="H48" s="11">
        <f>VLOOKUP(C48,'Stok Barang'!$A:$I,9,0)</f>
        <v>75000</v>
      </c>
      <c r="I48" s="11">
        <f t="shared" si="1"/>
        <v>600000</v>
      </c>
      <c r="J48" s="16" t="s">
        <v>137</v>
      </c>
    </row>
    <row r="49" spans="1:10" x14ac:dyDescent="0.25">
      <c r="A49" s="7" t="s">
        <v>159</v>
      </c>
      <c r="B49" s="7" t="s">
        <v>123</v>
      </c>
      <c r="C49" s="7" t="s">
        <v>63</v>
      </c>
      <c r="D49" s="14" t="s">
        <v>64</v>
      </c>
      <c r="E49" s="18" t="s">
        <v>11</v>
      </c>
      <c r="F49" s="7">
        <v>13</v>
      </c>
      <c r="G49" s="7" t="s">
        <v>82</v>
      </c>
      <c r="H49" s="8">
        <f>VLOOKUP(C49,'Stok Barang'!$A:$I,9,0)</f>
        <v>45000</v>
      </c>
      <c r="I49" s="8">
        <f t="shared" si="1"/>
        <v>585000</v>
      </c>
      <c r="J49" s="14" t="s">
        <v>111</v>
      </c>
    </row>
    <row r="50" spans="1:10" x14ac:dyDescent="0.25">
      <c r="A50" s="10" t="s">
        <v>160</v>
      </c>
      <c r="B50" s="10" t="s">
        <v>95</v>
      </c>
      <c r="C50" s="10" t="s">
        <v>63</v>
      </c>
      <c r="D50" s="16" t="s">
        <v>64</v>
      </c>
      <c r="E50" s="19" t="s">
        <v>9</v>
      </c>
      <c r="F50" s="10">
        <v>9</v>
      </c>
      <c r="G50" s="10" t="s">
        <v>82</v>
      </c>
      <c r="H50" s="11">
        <f>VLOOKUP(C50,'Stok Barang'!$A:$I,9,0)</f>
        <v>45000</v>
      </c>
      <c r="I50" s="11">
        <f t="shared" si="1"/>
        <v>405000</v>
      </c>
      <c r="J50" s="16" t="s">
        <v>105</v>
      </c>
    </row>
    <row r="51" spans="1:10" x14ac:dyDescent="0.25">
      <c r="A51" s="7" t="s">
        <v>161</v>
      </c>
      <c r="B51" s="7" t="s">
        <v>162</v>
      </c>
      <c r="C51" s="7" t="s">
        <v>42</v>
      </c>
      <c r="D51" s="14" t="s">
        <v>43</v>
      </c>
      <c r="E51" s="9" t="s">
        <v>9</v>
      </c>
      <c r="F51" s="7">
        <v>13</v>
      </c>
      <c r="G51" s="7" t="s">
        <v>82</v>
      </c>
      <c r="H51" s="8">
        <f>VLOOKUP(C51,'Stok Barang'!$A:$I,9,0)</f>
        <v>85000</v>
      </c>
      <c r="I51" s="8">
        <f t="shared" si="1"/>
        <v>1105000</v>
      </c>
      <c r="J51" s="14" t="s">
        <v>96</v>
      </c>
    </row>
    <row r="52" spans="1:10" x14ac:dyDescent="0.25">
      <c r="A52" s="6" t="s">
        <v>13</v>
      </c>
      <c r="B52" s="6" t="s">
        <v>131</v>
      </c>
      <c r="C52" s="6" t="s">
        <v>42</v>
      </c>
      <c r="D52" s="6" t="s">
        <v>43</v>
      </c>
      <c r="E52" s="6" t="s">
        <v>11</v>
      </c>
      <c r="F52" s="6">
        <f>SUM(F3:F51)</f>
        <v>455</v>
      </c>
      <c r="G52" s="6" t="s">
        <v>82</v>
      </c>
      <c r="H52" s="13">
        <f>VLOOKUP(C52,'Stok Barang'!$A:$I,9,0)</f>
        <v>85000</v>
      </c>
      <c r="I52" s="13">
        <f>SUM(I3:I51)</f>
        <v>28560000</v>
      </c>
      <c r="J52" s="6" t="s">
        <v>89</v>
      </c>
    </row>
  </sheetData>
  <autoFilter ref="A2:J51" xr:uid="{00000000-0009-0000-0000-000002000000}"/>
  <mergeCells count="1">
    <mergeCell ref="A1:J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 Dashboard</vt:lpstr>
      <vt:lpstr>Stok Barang</vt:lpstr>
      <vt:lpstr>Mutasi Barang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Rifky</dc:creator>
  <dc:description/>
  <cp:lastModifiedBy>RIFKY MARDIANSYAH</cp:lastModifiedBy>
  <cp:revision>0</cp:revision>
  <dcterms:created xsi:type="dcterms:W3CDTF">2026-04-23T00:25:25Z</dcterms:created>
  <dcterms:modified xsi:type="dcterms:W3CDTF">2026-04-23T16:19:51Z</dcterms:modified>
  <dc:language>en-US</dc:language>
</cp:coreProperties>
</file>