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4367F3C-D258-4EDC-9DEA-A386691F9B03}" xr6:coauthVersionLast="47" xr6:coauthVersionMax="47" xr10:uidLastSave="{00000000-0000-0000-0000-000000000000}"/>
  <bookViews>
    <workbookView xWindow="-120" yWindow="-120" windowWidth="20730" windowHeight="11040" tabRatio="500" activeTab="1" xr2:uid="{00000000-000D-0000-FFFF-FFFF00000000}"/>
  </bookViews>
  <sheets>
    <sheet name="HR Dashboard" sheetId="1" r:id="rId1"/>
    <sheet name="Data Karyawan" sheetId="2" r:id="rId2"/>
    <sheet name="Rekap Absensi" sheetId="3" r:id="rId3"/>
    <sheet name="Slip Gaji" sheetId="4" r:id="rId4"/>
  </sheets>
  <definedNames>
    <definedName name="_xlnm._FilterDatabase" localSheetId="1" hidden="1">'Data Karyawan'!$A$2:$L$22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4" l="1"/>
  <c r="D22" i="4"/>
  <c r="C22" i="4"/>
  <c r="I22" i="4" s="1"/>
  <c r="E21" i="4"/>
  <c r="D21" i="4"/>
  <c r="C21" i="4"/>
  <c r="I21" i="4" s="1"/>
  <c r="G20" i="4"/>
  <c r="E20" i="4"/>
  <c r="F20" i="4" s="1"/>
  <c r="D20" i="4"/>
  <c r="C20" i="4"/>
  <c r="H20" i="4" s="1"/>
  <c r="H19" i="4"/>
  <c r="E19" i="4"/>
  <c r="D19" i="4"/>
  <c r="C19" i="4"/>
  <c r="I19" i="4" s="1"/>
  <c r="E18" i="4"/>
  <c r="D18" i="4"/>
  <c r="C18" i="4"/>
  <c r="H18" i="4" s="1"/>
  <c r="G17" i="4"/>
  <c r="E17" i="4"/>
  <c r="D17" i="4"/>
  <c r="C17" i="4"/>
  <c r="I17" i="4" s="1"/>
  <c r="E16" i="4"/>
  <c r="D16" i="4"/>
  <c r="C16" i="4"/>
  <c r="I16" i="4" s="1"/>
  <c r="E15" i="4"/>
  <c r="D15" i="4"/>
  <c r="C15" i="4"/>
  <c r="I15" i="4" s="1"/>
  <c r="E14" i="4"/>
  <c r="D14" i="4"/>
  <c r="C14" i="4"/>
  <c r="I14" i="4" s="1"/>
  <c r="E13" i="4"/>
  <c r="F13" i="4" s="1"/>
  <c r="D13" i="4"/>
  <c r="C13" i="4"/>
  <c r="I13" i="4" s="1"/>
  <c r="G12" i="4"/>
  <c r="E12" i="4"/>
  <c r="D12" i="4"/>
  <c r="C12" i="4"/>
  <c r="H12" i="4" s="1"/>
  <c r="E11" i="4"/>
  <c r="D11" i="4"/>
  <c r="C11" i="4"/>
  <c r="I11" i="4" s="1"/>
  <c r="E10" i="4"/>
  <c r="D10" i="4"/>
  <c r="C10" i="4"/>
  <c r="H10" i="4" s="1"/>
  <c r="H9" i="4"/>
  <c r="E9" i="4"/>
  <c r="D9" i="4"/>
  <c r="C9" i="4"/>
  <c r="G9" i="4" s="1"/>
  <c r="E8" i="4"/>
  <c r="D8" i="4"/>
  <c r="C8" i="4"/>
  <c r="I8" i="4" s="1"/>
  <c r="E7" i="4"/>
  <c r="D7" i="4"/>
  <c r="C7" i="4"/>
  <c r="I7" i="4" s="1"/>
  <c r="E6" i="4"/>
  <c r="D6" i="4"/>
  <c r="C6" i="4"/>
  <c r="I6" i="4" s="1"/>
  <c r="H5" i="4"/>
  <c r="E5" i="4"/>
  <c r="F5" i="4" s="1"/>
  <c r="D5" i="4"/>
  <c r="C5" i="4"/>
  <c r="I5" i="4" s="1"/>
  <c r="E4" i="4"/>
  <c r="D4" i="4"/>
  <c r="C4" i="4"/>
  <c r="H4" i="4" s="1"/>
  <c r="E3" i="4"/>
  <c r="F3" i="4" s="1"/>
  <c r="D3" i="4"/>
  <c r="C3" i="4"/>
  <c r="H23" i="3"/>
  <c r="G23" i="3"/>
  <c r="F23" i="3"/>
  <c r="E23" i="3"/>
  <c r="D23" i="3"/>
  <c r="C23" i="3"/>
  <c r="I22" i="3"/>
  <c r="J22" i="3" s="1"/>
  <c r="I21" i="3"/>
  <c r="J21" i="3" s="1"/>
  <c r="J20" i="3"/>
  <c r="I20" i="3"/>
  <c r="J19" i="3"/>
  <c r="I19" i="3"/>
  <c r="I18" i="3"/>
  <c r="J18" i="3" s="1"/>
  <c r="I17" i="3"/>
  <c r="J17" i="3" s="1"/>
  <c r="J16" i="3"/>
  <c r="I16" i="3"/>
  <c r="J15" i="3"/>
  <c r="I15" i="3"/>
  <c r="I14" i="3"/>
  <c r="J14" i="3" s="1"/>
  <c r="I13" i="3"/>
  <c r="J13" i="3" s="1"/>
  <c r="J12" i="3"/>
  <c r="I12" i="3"/>
  <c r="J11" i="3"/>
  <c r="I11" i="3"/>
  <c r="I10" i="3"/>
  <c r="J10" i="3" s="1"/>
  <c r="I9" i="3"/>
  <c r="J9" i="3" s="1"/>
  <c r="J8" i="3"/>
  <c r="I8" i="3"/>
  <c r="J7" i="3"/>
  <c r="I7" i="3"/>
  <c r="I6" i="3"/>
  <c r="J6" i="3" s="1"/>
  <c r="I5" i="3"/>
  <c r="I7" i="1" s="1"/>
  <c r="J4" i="3"/>
  <c r="I4" i="3"/>
  <c r="J3" i="3"/>
  <c r="I3" i="3"/>
  <c r="B17" i="1"/>
  <c r="B16" i="1"/>
  <c r="B15" i="1"/>
  <c r="B14" i="1"/>
  <c r="B13" i="1"/>
  <c r="L7" i="1"/>
  <c r="A7" i="1"/>
  <c r="F15" i="4" l="1"/>
  <c r="J9" i="4"/>
  <c r="I9" i="4"/>
  <c r="F11" i="4"/>
  <c r="I12" i="4"/>
  <c r="C23" i="4"/>
  <c r="F4" i="4"/>
  <c r="G11" i="4"/>
  <c r="G14" i="4"/>
  <c r="F17" i="4"/>
  <c r="F21" i="4"/>
  <c r="G4" i="4"/>
  <c r="J4" i="4" s="1"/>
  <c r="H11" i="4"/>
  <c r="I18" i="4"/>
  <c r="H21" i="4"/>
  <c r="G6" i="4"/>
  <c r="H17" i="4"/>
  <c r="J17" i="4" s="1"/>
  <c r="I4" i="4"/>
  <c r="G3" i="4"/>
  <c r="F9" i="4"/>
  <c r="K9" i="4" s="1"/>
  <c r="H3" i="4"/>
  <c r="I10" i="4"/>
  <c r="H13" i="4"/>
  <c r="F19" i="4"/>
  <c r="I20" i="4"/>
  <c r="J20" i="4" s="1"/>
  <c r="K20" i="4" s="1"/>
  <c r="D23" i="4"/>
  <c r="F12" i="4"/>
  <c r="G19" i="4"/>
  <c r="J19" i="4" s="1"/>
  <c r="G22" i="4"/>
  <c r="J12" i="4"/>
  <c r="K12" i="4"/>
  <c r="B18" i="1"/>
  <c r="J5" i="3"/>
  <c r="J14" i="1" s="1"/>
  <c r="I3" i="4"/>
  <c r="I23" i="4" s="1"/>
  <c r="G5" i="4"/>
  <c r="J5" i="4" s="1"/>
  <c r="K5" i="4" s="1"/>
  <c r="F6" i="4"/>
  <c r="G13" i="4"/>
  <c r="J13" i="4" s="1"/>
  <c r="K13" i="4" s="1"/>
  <c r="F14" i="4"/>
  <c r="G21" i="4"/>
  <c r="J21" i="4" s="1"/>
  <c r="K21" i="4" s="1"/>
  <c r="F22" i="4"/>
  <c r="E23" i="4"/>
  <c r="I23" i="3"/>
  <c r="F7" i="4"/>
  <c r="H6" i="4"/>
  <c r="G7" i="4"/>
  <c r="F8" i="4"/>
  <c r="H14" i="4"/>
  <c r="J14" i="4" s="1"/>
  <c r="G15" i="4"/>
  <c r="F16" i="4"/>
  <c r="H22" i="4"/>
  <c r="J22" i="4" s="1"/>
  <c r="H7" i="4"/>
  <c r="G8" i="4"/>
  <c r="J8" i="4" s="1"/>
  <c r="H15" i="4"/>
  <c r="G16" i="4"/>
  <c r="H8" i="4"/>
  <c r="F10" i="4"/>
  <c r="H16" i="4"/>
  <c r="F18" i="4"/>
  <c r="G10" i="4"/>
  <c r="G18" i="4"/>
  <c r="J18" i="4" s="1"/>
  <c r="K4" i="4" l="1"/>
  <c r="K19" i="4"/>
  <c r="J11" i="4"/>
  <c r="K11" i="4" s="1"/>
  <c r="J6" i="4"/>
  <c r="J23" i="4" s="1"/>
  <c r="J10" i="4"/>
  <c r="H23" i="4"/>
  <c r="J3" i="4"/>
  <c r="K3" i="4" s="1"/>
  <c r="K17" i="4"/>
  <c r="C13" i="1"/>
  <c r="K18" i="4"/>
  <c r="J7" i="4"/>
  <c r="K7" i="4" s="1"/>
  <c r="K14" i="4"/>
  <c r="G23" i="4"/>
  <c r="K10" i="4"/>
  <c r="C17" i="1" s="1"/>
  <c r="D17" i="1" s="1"/>
  <c r="J13" i="1"/>
  <c r="J15" i="1"/>
  <c r="F23" i="4"/>
  <c r="K22" i="4"/>
  <c r="J15" i="4"/>
  <c r="K15" i="4" s="1"/>
  <c r="J16" i="4"/>
  <c r="K16" i="4" s="1"/>
  <c r="K8" i="4"/>
  <c r="C16" i="1" s="1"/>
  <c r="D16" i="1" s="1"/>
  <c r="C14" i="1" l="1"/>
  <c r="D14" i="1" s="1"/>
  <c r="K6" i="4"/>
  <c r="E7" i="1" s="1"/>
  <c r="C15" i="1"/>
  <c r="D15" i="1" s="1"/>
  <c r="D13" i="1"/>
  <c r="J16" i="1"/>
  <c r="K23" i="4" l="1"/>
  <c r="C18" i="1"/>
  <c r="D18" i="1" s="1"/>
  <c r="K13" i="1"/>
  <c r="K14" i="1"/>
  <c r="K15" i="1"/>
</calcChain>
</file>

<file path=xl/sharedStrings.xml><?xml version="1.0" encoding="utf-8"?>
<sst xmlns="http://schemas.openxmlformats.org/spreadsheetml/2006/main" count="329" uniqueCount="152">
  <si>
    <t>Data Karyawan · Rekap Absensi · Rekapitulasi Penggajian April 2026  ·  Semua angka menggunakan formula Excel (VLOOKUP, IF, SUM, AVERAGE)  ·  Rifky Mardiansyah</t>
  </si>
  <si>
    <t>Divisi</t>
  </si>
  <si>
    <t>Jumlah</t>
  </si>
  <si>
    <t>Total Gaji Bersih (Rp)</t>
  </si>
  <si>
    <t>Rata-rata Gaji Bersih</t>
  </si>
  <si>
    <t>Status</t>
  </si>
  <si>
    <t>% dari Total</t>
  </si>
  <si>
    <t>IT</t>
  </si>
  <si>
    <t>Baik</t>
  </si>
  <si>
    <t>HR</t>
  </si>
  <si>
    <t>Cukup</t>
  </si>
  <si>
    <t>Finance</t>
  </si>
  <si>
    <t>Perlu Perhatian</t>
  </si>
  <si>
    <t>Marketing</t>
  </si>
  <si>
    <t>TOTAL</t>
  </si>
  <si>
    <t>100.0%</t>
  </si>
  <si>
    <t>Operations</t>
  </si>
  <si>
    <t>ID Karyawan</t>
  </si>
  <si>
    <t>Nama Lengkap</t>
  </si>
  <si>
    <t>Jabatan</t>
  </si>
  <si>
    <t>Tanggal Bergabung</t>
  </si>
  <si>
    <t>Gaji Pokok (Rp)</t>
  </si>
  <si>
    <t>Tunjangan Tetap (Rp)</t>
  </si>
  <si>
    <t>BPJS Kesehatan (%)</t>
  </si>
  <si>
    <t>BPJS TK (%)</t>
  </si>
  <si>
    <t>PPh21 (%)</t>
  </si>
  <si>
    <t>Rekening Bank</t>
  </si>
  <si>
    <t>EMP-001</t>
  </si>
  <si>
    <t>Andi Pratama</t>
  </si>
  <si>
    <t>System Analyst</t>
  </si>
  <si>
    <t>Tetap</t>
  </si>
  <si>
    <t>2019-01-24</t>
  </si>
  <si>
    <t>Rek-Mandiri-334053</t>
  </si>
  <si>
    <t>EMP-002</t>
  </si>
  <si>
    <t>Budi Santoso</t>
  </si>
  <si>
    <t>HR Staff</t>
  </si>
  <si>
    <t>2020-12-04</t>
  </si>
  <si>
    <t>Rek-BTN-542417</t>
  </si>
  <si>
    <t>EMP-003</t>
  </si>
  <si>
    <t>Citra Dewi</t>
  </si>
  <si>
    <t>Recruiter</t>
  </si>
  <si>
    <t>2019-01-03</t>
  </si>
  <si>
    <t>Rek-Mandiri-629903</t>
  </si>
  <si>
    <t>EMP-004</t>
  </si>
  <si>
    <t>Deni Firmansyah</t>
  </si>
  <si>
    <t>Accounting Staff</t>
  </si>
  <si>
    <t>2023-01-18</t>
  </si>
  <si>
    <t>Rek-BTN-539898</t>
  </si>
  <si>
    <t>EMP-005</t>
  </si>
  <si>
    <t>Eka Rahayu</t>
  </si>
  <si>
    <t>Finance Analyst</t>
  </si>
  <si>
    <t>2020-08-19</t>
  </si>
  <si>
    <t>Rek-BCA-895667</t>
  </si>
  <si>
    <t>EMP-006</t>
  </si>
  <si>
    <t>Fandi Ahmad</t>
  </si>
  <si>
    <t>Digital Marketing</t>
  </si>
  <si>
    <t>2020-12-14</t>
  </si>
  <si>
    <t>Rek-BNI-263032</t>
  </si>
  <si>
    <t>EMP-007</t>
  </si>
  <si>
    <t>Gita Nuraini</t>
  </si>
  <si>
    <t>Brand Executive</t>
  </si>
  <si>
    <t>2020-06-04</t>
  </si>
  <si>
    <t>Rek-BRI-201414</t>
  </si>
  <si>
    <t>EMP-008</t>
  </si>
  <si>
    <t>Hendra Wijaya</t>
  </si>
  <si>
    <t>Admin Staff</t>
  </si>
  <si>
    <t>2021-06-20</t>
  </si>
  <si>
    <t>Rek-BCA-865179</t>
  </si>
  <si>
    <t>EMP-009</t>
  </si>
  <si>
    <t>Indah Lestari</t>
  </si>
  <si>
    <t>Logistics Staff</t>
  </si>
  <si>
    <t>2022-09-04</t>
  </si>
  <si>
    <t>Rek-BCA-678856</t>
  </si>
  <si>
    <t>EMP-010</t>
  </si>
  <si>
    <t>Joko Purnomo</t>
  </si>
  <si>
    <t>Junior Developer</t>
  </si>
  <si>
    <t>2021-11-20</t>
  </si>
  <si>
    <t>Rek-BTN-301629</t>
  </si>
  <si>
    <t>EMP-011</t>
  </si>
  <si>
    <t>Kartika Sari</t>
  </si>
  <si>
    <t>2019-01-22</t>
  </si>
  <si>
    <t>Rek-BNI-183667</t>
  </si>
  <si>
    <t>EMP-012</t>
  </si>
  <si>
    <t>Lukman Hakim</t>
  </si>
  <si>
    <t>2020-02-13</t>
  </si>
  <si>
    <t>Rek-BRI-766563</t>
  </si>
  <si>
    <t>EMP-013</t>
  </si>
  <si>
    <t>Maya Putri</t>
  </si>
  <si>
    <t>2021-03-12</t>
  </si>
  <si>
    <t>Rek-Mandiri-802729</t>
  </si>
  <si>
    <t>EMP-014</t>
  </si>
  <si>
    <t>Nanda Kusuma</t>
  </si>
  <si>
    <t>2021-12-22</t>
  </si>
  <si>
    <t>Rek-BTN-765822</t>
  </si>
  <si>
    <t>EMP-015</t>
  </si>
  <si>
    <t>Okta Rinaldi</t>
  </si>
  <si>
    <t>2020-09-24</t>
  </si>
  <si>
    <t>Rek-Mandiri-584714</t>
  </si>
  <si>
    <t>EMP-016</t>
  </si>
  <si>
    <t>Puti Rahmawati</t>
  </si>
  <si>
    <t>Kontrak</t>
  </si>
  <si>
    <t>2022-05-21</t>
  </si>
  <si>
    <t>Rek-BNI-983794</t>
  </si>
  <si>
    <t>EMP-017</t>
  </si>
  <si>
    <t>Qori Zulaikha</t>
  </si>
  <si>
    <t>2019-04-27</t>
  </si>
  <si>
    <t>Rek-BNI-520651</t>
  </si>
  <si>
    <t>EMP-018</t>
  </si>
  <si>
    <t>Reza Maulana</t>
  </si>
  <si>
    <t>2021-02-07</t>
  </si>
  <si>
    <t>Rek-Mandiri-787277</t>
  </si>
  <si>
    <t>EMP-019</t>
  </si>
  <si>
    <t>Sinta Aprilia</t>
  </si>
  <si>
    <t>2022-07-21</t>
  </si>
  <si>
    <t>Rek-Mandiri-377746</t>
  </si>
  <si>
    <t>EMP-020</t>
  </si>
  <si>
    <t>Tono Sugiarto</t>
  </si>
  <si>
    <t>2020-04-24</t>
  </si>
  <si>
    <t>Rek-BTN-549245</t>
  </si>
  <si>
    <t>Nama</t>
  </si>
  <si>
    <t>Hari Kerja</t>
  </si>
  <si>
    <t>Hadir</t>
  </si>
  <si>
    <t>Sakit</t>
  </si>
  <si>
    <t>Izin</t>
  </si>
  <si>
    <t>Alpha</t>
  </si>
  <si>
    <t>Lembur (Jam)</t>
  </si>
  <si>
    <t>% Kehadiran</t>
  </si>
  <si>
    <t>Status Kehadiran</t>
  </si>
  <si>
    <t>TOTAL/RATA-RATA</t>
  </si>
  <si>
    <t>—</t>
  </si>
  <si>
    <t>Gaji Pokok</t>
  </si>
  <si>
    <t>Tunjangan</t>
  </si>
  <si>
    <t>Lembur (Rp)</t>
  </si>
  <si>
    <t>Total Bruto</t>
  </si>
  <si>
    <t>BPJS Kes.</t>
  </si>
  <si>
    <t>BPJS TK</t>
  </si>
  <si>
    <t>PPh21</t>
  </si>
  <si>
    <t>Total Potongan</t>
  </si>
  <si>
    <t>Gaji Bersih</t>
  </si>
  <si>
    <t>Status Bayar</t>
  </si>
  <si>
    <t>Tanggal Bayar</t>
  </si>
  <si>
    <t>Lunas</t>
  </si>
  <si>
    <t>2026-04-28</t>
  </si>
  <si>
    <t>HR &amp; PAYROLL TRACKER - PT MAJU BERSAMA</t>
  </si>
  <si>
    <t>Total Karyawan</t>
  </si>
  <si>
    <t>Total Gaji Bersih</t>
  </si>
  <si>
    <t>Rata-rata Kehadiran</t>
  </si>
  <si>
    <t>Total Lembur (Jam)</t>
  </si>
  <si>
    <t>Karyawan per Divisi</t>
  </si>
  <si>
    <t xml:space="preserve">DATA MASTER KARYAWAN - PT MAJU BERSAMA </t>
  </si>
  <si>
    <t xml:space="preserve">REKAP ABSENSI BULANAN -APRIL 2026 </t>
  </si>
  <si>
    <t xml:space="preserve">REKAPITULASI PENGGAJIAN - APRIL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</si>
</sst>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\%"/>
  </numFmts>
  <fonts count="12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FFFFFF"/>
      <name val="Arial"/>
      <charset val="1"/>
    </font>
    <font>
      <b/>
      <sz val="11"/>
      <color rgb="FFFFFFFF"/>
      <name val="Arial"/>
      <charset val="1"/>
    </font>
    <font>
      <b/>
      <sz val="18"/>
      <color rgb="FF1A1A2E"/>
      <name val="Arial"/>
      <charset val="1"/>
    </font>
    <font>
      <b/>
      <sz val="10"/>
      <color rgb="FFFFFFFF"/>
      <name val="Arial"/>
      <charset val="1"/>
    </font>
    <font>
      <sz val="10"/>
      <color rgb="FF2C3E50"/>
      <name val="Arial"/>
      <charset val="1"/>
    </font>
    <font>
      <b/>
      <sz val="10"/>
      <color rgb="FF1E8449"/>
      <name val="Arial"/>
      <charset val="1"/>
    </font>
    <font>
      <b/>
      <sz val="10"/>
      <color rgb="FFD35400"/>
      <name val="Arial"/>
      <charset val="1"/>
    </font>
    <font>
      <b/>
      <sz val="10"/>
      <color rgb="FFC0392B"/>
      <name val="Arial"/>
      <charset val="1"/>
    </font>
    <font>
      <b/>
      <sz val="12"/>
      <color rgb="FFFFFFFF"/>
      <name val="Arial"/>
      <charset val="1"/>
    </font>
    <font>
      <sz val="9"/>
      <color rgb="FF2C3E5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A1A2E"/>
        <bgColor rgb="FF333333"/>
      </patternFill>
    </fill>
    <fill>
      <patternFill patternType="solid">
        <fgColor rgb="FF0F3460"/>
        <bgColor rgb="FF2C3E50"/>
      </patternFill>
    </fill>
    <fill>
      <patternFill patternType="solid">
        <fgColor rgb="FFF4F6F9"/>
        <bgColor rgb="FFFFFFFF"/>
      </patternFill>
    </fill>
    <fill>
      <patternFill patternType="solid">
        <fgColor rgb="FFFFFFFF"/>
        <bgColor rgb="FFF4F6F9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  <border>
      <left/>
      <right/>
      <top/>
      <bottom style="thin">
        <color rgb="FF33333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0" fillId="2" borderId="0" xfId="0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3" fontId="11" fillId="5" borderId="2" xfId="0" applyNumberFormat="1" applyFont="1" applyFill="1" applyBorder="1" applyAlignment="1">
      <alignment horizontal="center" vertical="center" wrapText="1"/>
    </xf>
    <xf numFmtId="165" fontId="11" fillId="5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8C8D"/>
      <rgbColor rgb="FF9999FF"/>
      <rgbColor rgb="FF993366"/>
      <rgbColor rgb="FFF4F6F9"/>
      <rgbColor rgb="FFCCFFFF"/>
      <rgbColor rgb="FF660066"/>
      <rgbColor rgb="FFFF8080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35400"/>
      <rgbColor rgb="FF666699"/>
      <rgbColor rgb="FF969696"/>
      <rgbColor rgb="FF0F3460"/>
      <rgbColor rgb="FF1E8449"/>
      <rgbColor rgb="FF003300"/>
      <rgbColor rgb="FF1A1A2E"/>
      <rgbColor rgb="FFC0392B"/>
      <rgbColor rgb="FF993366"/>
      <rgbColor rgb="FF2C3E5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opLeftCell="A4" zoomScaleNormal="100" workbookViewId="0">
      <selection activeCell="I20" sqref="I20"/>
    </sheetView>
  </sheetViews>
  <sheetFormatPr defaultColWidth="8.7109375" defaultRowHeight="15" x14ac:dyDescent="0.25"/>
  <cols>
    <col min="1" max="17" width="15" customWidth="1"/>
  </cols>
  <sheetData>
    <row r="1" spans="1:14" ht="31.5" customHeight="1" x14ac:dyDescent="0.25">
      <c r="A1" s="6" t="s">
        <v>143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8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" customHeight="1" x14ac:dyDescent="0.25"/>
    <row r="5" spans="1:14" ht="18" customHeight="1" x14ac:dyDescent="0.25">
      <c r="A5" s="4" t="s">
        <v>144</v>
      </c>
      <c r="B5" s="4"/>
      <c r="C5" s="4"/>
      <c r="D5" s="4"/>
      <c r="E5" s="4" t="s">
        <v>145</v>
      </c>
      <c r="F5" s="4"/>
      <c r="G5" s="4"/>
      <c r="H5" s="4"/>
      <c r="I5" s="4" t="s">
        <v>146</v>
      </c>
      <c r="J5" s="4"/>
      <c r="K5" s="4"/>
      <c r="L5" s="4" t="s">
        <v>147</v>
      </c>
      <c r="M5" s="4"/>
      <c r="N5" s="4"/>
    </row>
    <row r="6" spans="1:14" ht="18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" customHeight="1" x14ac:dyDescent="0.25">
      <c r="A7" s="3">
        <f>COUNTA('Data Karyawan'!A3:A22)</f>
        <v>20</v>
      </c>
      <c r="B7" s="3"/>
      <c r="C7" s="3"/>
      <c r="D7" s="3"/>
      <c r="E7" s="3">
        <f>SUM('Slip Gaji'!K3:K22)</f>
        <v>138801919</v>
      </c>
      <c r="F7" s="3"/>
      <c r="G7" s="3"/>
      <c r="H7" s="3"/>
      <c r="I7" s="2">
        <f>AVERAGE('Rekap Absensi'!I3:I22)</f>
        <v>0.89090909090909087</v>
      </c>
      <c r="J7" s="2"/>
      <c r="K7" s="2"/>
      <c r="L7" s="3">
        <f>SUM('Rekap Absensi'!H3:H22)</f>
        <v>204</v>
      </c>
      <c r="M7" s="3"/>
      <c r="N7" s="3"/>
    </row>
    <row r="8" spans="1:14" ht="18" customHeight="1" x14ac:dyDescent="0.25">
      <c r="A8" s="3"/>
      <c r="B8" s="3"/>
      <c r="C8" s="3"/>
      <c r="D8" s="3"/>
      <c r="E8" s="3"/>
      <c r="F8" s="3"/>
      <c r="G8" s="3"/>
      <c r="H8" s="3"/>
      <c r="I8" s="2"/>
      <c r="J8" s="2"/>
      <c r="K8" s="2"/>
      <c r="L8" s="3"/>
      <c r="M8" s="3"/>
      <c r="N8" s="3"/>
    </row>
    <row r="9" spans="1:14" ht="18" customHeight="1" x14ac:dyDescent="0.25">
      <c r="A9" s="3"/>
      <c r="B9" s="3"/>
      <c r="C9" s="3"/>
      <c r="D9" s="3"/>
      <c r="E9" s="3"/>
      <c r="F9" s="3"/>
      <c r="G9" s="3"/>
      <c r="H9" s="3"/>
      <c r="I9" s="2"/>
      <c r="J9" s="2"/>
      <c r="K9" s="2"/>
      <c r="L9" s="3"/>
      <c r="M9" s="3"/>
      <c r="N9" s="3"/>
    </row>
    <row r="10" spans="1:14" ht="18" customHeight="1" x14ac:dyDescent="0.25"/>
    <row r="11" spans="1:14" ht="18" customHeight="1" x14ac:dyDescent="0.25">
      <c r="A11" s="30" t="s">
        <v>148</v>
      </c>
      <c r="B11" s="30"/>
      <c r="C11" s="30"/>
      <c r="D11" s="30"/>
      <c r="I11" s="30" t="s">
        <v>127</v>
      </c>
      <c r="J11" s="30"/>
      <c r="K11" s="30"/>
    </row>
    <row r="12" spans="1:14" ht="18" customHeight="1" x14ac:dyDescent="0.25">
      <c r="A12" s="7" t="s">
        <v>1</v>
      </c>
      <c r="B12" s="7" t="s">
        <v>2</v>
      </c>
      <c r="C12" s="7" t="s">
        <v>3</v>
      </c>
      <c r="D12" s="7" t="s">
        <v>4</v>
      </c>
      <c r="I12" s="7" t="s">
        <v>5</v>
      </c>
      <c r="J12" s="7" t="s">
        <v>2</v>
      </c>
      <c r="K12" s="7" t="s">
        <v>6</v>
      </c>
    </row>
    <row r="13" spans="1:14" ht="18" customHeight="1" x14ac:dyDescent="0.25">
      <c r="A13" s="8" t="s">
        <v>7</v>
      </c>
      <c r="B13" s="8">
        <f>COUNTIF('Data Karyawan'!C3:C22,"IT")</f>
        <v>4</v>
      </c>
      <c r="C13" s="9">
        <f>SUMIF('Data Karyawan'!C3:C22,"IT",'Slip Gaji'!K3:K22)</f>
        <v>28843407</v>
      </c>
      <c r="D13" s="9">
        <f t="shared" ref="D13:D18" si="0">IF(B13=0,0,C13/B13)</f>
        <v>7210851.75</v>
      </c>
      <c r="I13" s="10" t="s">
        <v>8</v>
      </c>
      <c r="J13" s="8">
        <f>COUNTIF('Rekap Absensi'!J3:J22,"Baik")</f>
        <v>10</v>
      </c>
      <c r="K13" s="11">
        <f>IF(E7=0,0,J13/E7)</f>
        <v>7.2045113439678015E-8</v>
      </c>
    </row>
    <row r="14" spans="1:14" ht="18" customHeight="1" x14ac:dyDescent="0.25">
      <c r="A14" s="12" t="s">
        <v>9</v>
      </c>
      <c r="B14" s="12">
        <f>COUNTIF('Data Karyawan'!C3:C22,"HR")</f>
        <v>4</v>
      </c>
      <c r="C14" s="13">
        <f>SUMIF('Data Karyawan'!C3:C22,"HR",'Slip Gaji'!K3:K22)</f>
        <v>26717462</v>
      </c>
      <c r="D14" s="13">
        <f t="shared" si="0"/>
        <v>6679365.5</v>
      </c>
      <c r="I14" s="14" t="s">
        <v>10</v>
      </c>
      <c r="J14" s="12">
        <f>COUNTIF('Rekap Absensi'!J3:J22,"Cukup")</f>
        <v>10</v>
      </c>
      <c r="K14" s="15">
        <f>IF(E7=0,0,J14/E7)</f>
        <v>7.2045113439678015E-8</v>
      </c>
    </row>
    <row r="15" spans="1:14" ht="18" customHeight="1" x14ac:dyDescent="0.25">
      <c r="A15" s="8" t="s">
        <v>11</v>
      </c>
      <c r="B15" s="8">
        <f>COUNTIF('Data Karyawan'!C3:C22,"Finance")</f>
        <v>4</v>
      </c>
      <c r="C15" s="9">
        <f>SUMIF('Data Karyawan'!C3:C22,"Finance",'Slip Gaji'!K3:K22)</f>
        <v>26152654</v>
      </c>
      <c r="D15" s="9">
        <f t="shared" si="0"/>
        <v>6538163.5</v>
      </c>
      <c r="I15" s="16" t="s">
        <v>12</v>
      </c>
      <c r="J15" s="8">
        <f>COUNTIF('Rekap Absensi'!J3:J22,"Perlu Perhatian")</f>
        <v>0</v>
      </c>
      <c r="K15" s="11">
        <f>IF(E7=0,0,J15/E7)</f>
        <v>0</v>
      </c>
    </row>
    <row r="16" spans="1:14" ht="18" customHeight="1" x14ac:dyDescent="0.25">
      <c r="A16" s="12" t="s">
        <v>13</v>
      </c>
      <c r="B16" s="12">
        <f>COUNTIF('Data Karyawan'!C3:C22,"Marketing")</f>
        <v>4</v>
      </c>
      <c r="C16" s="13">
        <f>SUMIF('Data Karyawan'!C3:C22,"Marketing",'Slip Gaji'!K3:K22)</f>
        <v>25691918</v>
      </c>
      <c r="D16" s="13">
        <f t="shared" si="0"/>
        <v>6422979.5</v>
      </c>
      <c r="I16" s="7" t="s">
        <v>14</v>
      </c>
      <c r="J16" s="7">
        <f>SUM(J13:J15)</f>
        <v>20</v>
      </c>
      <c r="K16" s="7" t="s">
        <v>15</v>
      </c>
    </row>
    <row r="17" spans="1:4" ht="18" customHeight="1" x14ac:dyDescent="0.25">
      <c r="A17" s="8" t="s">
        <v>16</v>
      </c>
      <c r="B17" s="8">
        <f>COUNTIF('Data Karyawan'!C3:C22,"Operations")</f>
        <v>4</v>
      </c>
      <c r="C17" s="9">
        <f>SUMIF('Data Karyawan'!C3:C22,"Operations",'Slip Gaji'!K3:K22)</f>
        <v>31396478</v>
      </c>
      <c r="D17" s="9">
        <f t="shared" si="0"/>
        <v>7849119.5</v>
      </c>
    </row>
    <row r="18" spans="1:4" ht="18" customHeight="1" x14ac:dyDescent="0.25">
      <c r="A18" s="7" t="s">
        <v>14</v>
      </c>
      <c r="B18" s="7">
        <f>SUM(B13:B17)</f>
        <v>20</v>
      </c>
      <c r="C18" s="17">
        <f>SUM(C13:C17)</f>
        <v>138801919</v>
      </c>
      <c r="D18" s="17">
        <f t="shared" si="0"/>
        <v>6940095.9500000002</v>
      </c>
    </row>
    <row r="19" spans="1:4" ht="18" customHeight="1" x14ac:dyDescent="0.25"/>
    <row r="20" spans="1:4" ht="18" customHeight="1" x14ac:dyDescent="0.25"/>
    <row r="21" spans="1:4" ht="18" customHeight="1" x14ac:dyDescent="0.25"/>
    <row r="22" spans="1:4" ht="18" customHeight="1" x14ac:dyDescent="0.25"/>
    <row r="23" spans="1:4" ht="18" customHeight="1" x14ac:dyDescent="0.25"/>
    <row r="24" spans="1:4" ht="18" customHeight="1" x14ac:dyDescent="0.25"/>
    <row r="25" spans="1:4" ht="18" customHeight="1" x14ac:dyDescent="0.25"/>
    <row r="26" spans="1:4" ht="18" customHeight="1" x14ac:dyDescent="0.25"/>
    <row r="27" spans="1:4" ht="18" customHeight="1" x14ac:dyDescent="0.25"/>
    <row r="28" spans="1:4" ht="18" customHeight="1" x14ac:dyDescent="0.25"/>
    <row r="29" spans="1:4" ht="18" customHeight="1" x14ac:dyDescent="0.25"/>
    <row r="30" spans="1:4" ht="18" customHeight="1" x14ac:dyDescent="0.25"/>
    <row r="31" spans="1:4" ht="18" customHeight="1" x14ac:dyDescent="0.25"/>
    <row r="32" spans="1:4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</sheetData>
  <mergeCells count="12">
    <mergeCell ref="A11:D11"/>
    <mergeCell ref="I11:K11"/>
    <mergeCell ref="A7:D9"/>
    <mergeCell ref="E7:H9"/>
    <mergeCell ref="I7:K9"/>
    <mergeCell ref="L7:N9"/>
    <mergeCell ref="A1:N2"/>
    <mergeCell ref="A3:N3"/>
    <mergeCell ref="A5:D6"/>
    <mergeCell ref="E5:H6"/>
    <mergeCell ref="I5:K6"/>
    <mergeCell ref="L5:N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tabSelected="1" zoomScaleNormal="100" workbookViewId="0">
      <pane ySplit="2" topLeftCell="A3" activePane="bottomLeft" state="frozen"/>
      <selection pane="bottomLeft" sqref="A1:L1"/>
    </sheetView>
  </sheetViews>
  <sheetFormatPr defaultColWidth="8.7109375" defaultRowHeight="15" x14ac:dyDescent="0.25"/>
  <cols>
    <col min="1" max="1" width="12" customWidth="1"/>
    <col min="2" max="2" width="22" customWidth="1"/>
    <col min="3" max="3" width="14" customWidth="1"/>
    <col min="4" max="4" width="18" customWidth="1"/>
    <col min="5" max="5" width="10" customWidth="1"/>
    <col min="6" max="6" width="16" customWidth="1"/>
    <col min="7" max="7" width="18" customWidth="1"/>
    <col min="8" max="8" width="20" customWidth="1"/>
    <col min="9" max="9" width="16" customWidth="1"/>
    <col min="10" max="11" width="12" customWidth="1"/>
    <col min="12" max="12" width="24" customWidth="1"/>
  </cols>
  <sheetData>
    <row r="1" spans="1:12" ht="25.5" customHeight="1" x14ac:dyDescent="0.25">
      <c r="A1" s="1" t="s">
        <v>149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x14ac:dyDescent="0.25">
      <c r="A2" s="7" t="s">
        <v>17</v>
      </c>
      <c r="B2" s="7" t="s">
        <v>18</v>
      </c>
      <c r="C2" s="7" t="s">
        <v>1</v>
      </c>
      <c r="D2" s="7" t="s">
        <v>19</v>
      </c>
      <c r="E2" s="7" t="s">
        <v>5</v>
      </c>
      <c r="F2" s="7" t="s">
        <v>20</v>
      </c>
      <c r="G2" s="7" t="s">
        <v>21</v>
      </c>
      <c r="H2" s="7" t="s">
        <v>22</v>
      </c>
      <c r="I2" s="7" t="s">
        <v>23</v>
      </c>
      <c r="J2" s="7" t="s">
        <v>24</v>
      </c>
      <c r="K2" s="7" t="s">
        <v>25</v>
      </c>
      <c r="L2" s="7" t="s">
        <v>26</v>
      </c>
    </row>
    <row r="3" spans="1:12" x14ac:dyDescent="0.25">
      <c r="A3" s="18" t="s">
        <v>27</v>
      </c>
      <c r="B3" s="19" t="s">
        <v>28</v>
      </c>
      <c r="C3" s="18" t="s">
        <v>7</v>
      </c>
      <c r="D3" s="18" t="s">
        <v>29</v>
      </c>
      <c r="E3" s="18" t="s">
        <v>30</v>
      </c>
      <c r="F3" s="18" t="s">
        <v>31</v>
      </c>
      <c r="G3" s="20">
        <v>6500000</v>
      </c>
      <c r="H3" s="20">
        <v>600000</v>
      </c>
      <c r="I3" s="21">
        <v>1</v>
      </c>
      <c r="J3" s="21">
        <v>2</v>
      </c>
      <c r="K3" s="21">
        <v>5</v>
      </c>
      <c r="L3" s="18" t="s">
        <v>32</v>
      </c>
    </row>
    <row r="4" spans="1:12" x14ac:dyDescent="0.25">
      <c r="A4" s="22" t="s">
        <v>33</v>
      </c>
      <c r="B4" s="23" t="s">
        <v>34</v>
      </c>
      <c r="C4" s="22" t="s">
        <v>9</v>
      </c>
      <c r="D4" s="22" t="s">
        <v>35</v>
      </c>
      <c r="E4" s="22" t="s">
        <v>30</v>
      </c>
      <c r="F4" s="22" t="s">
        <v>36</v>
      </c>
      <c r="G4" s="24">
        <v>5000000</v>
      </c>
      <c r="H4" s="24">
        <v>500000</v>
      </c>
      <c r="I4" s="25">
        <v>1</v>
      </c>
      <c r="J4" s="25">
        <v>2</v>
      </c>
      <c r="K4" s="25">
        <v>5</v>
      </c>
      <c r="L4" s="22" t="s">
        <v>37</v>
      </c>
    </row>
    <row r="5" spans="1:12" x14ac:dyDescent="0.25">
      <c r="A5" s="18" t="s">
        <v>38</v>
      </c>
      <c r="B5" s="19" t="s">
        <v>39</v>
      </c>
      <c r="C5" s="18" t="s">
        <v>9</v>
      </c>
      <c r="D5" s="18" t="s">
        <v>40</v>
      </c>
      <c r="E5" s="18" t="s">
        <v>30</v>
      </c>
      <c r="F5" s="18" t="s">
        <v>41</v>
      </c>
      <c r="G5" s="20">
        <v>6000000</v>
      </c>
      <c r="H5" s="20">
        <v>600000</v>
      </c>
      <c r="I5" s="21">
        <v>1</v>
      </c>
      <c r="J5" s="21">
        <v>2</v>
      </c>
      <c r="K5" s="21">
        <v>5</v>
      </c>
      <c r="L5" s="18" t="s">
        <v>42</v>
      </c>
    </row>
    <row r="6" spans="1:12" x14ac:dyDescent="0.25">
      <c r="A6" s="22" t="s">
        <v>43</v>
      </c>
      <c r="B6" s="23" t="s">
        <v>44</v>
      </c>
      <c r="C6" s="22" t="s">
        <v>11</v>
      </c>
      <c r="D6" s="22" t="s">
        <v>45</v>
      </c>
      <c r="E6" s="22" t="s">
        <v>30</v>
      </c>
      <c r="F6" s="22" t="s">
        <v>46</v>
      </c>
      <c r="G6" s="24">
        <v>6000000</v>
      </c>
      <c r="H6" s="24">
        <v>600000</v>
      </c>
      <c r="I6" s="25">
        <v>1</v>
      </c>
      <c r="J6" s="25">
        <v>2</v>
      </c>
      <c r="K6" s="25">
        <v>5</v>
      </c>
      <c r="L6" s="22" t="s">
        <v>47</v>
      </c>
    </row>
    <row r="7" spans="1:12" x14ac:dyDescent="0.25">
      <c r="A7" s="18" t="s">
        <v>48</v>
      </c>
      <c r="B7" s="19" t="s">
        <v>49</v>
      </c>
      <c r="C7" s="18" t="s">
        <v>11</v>
      </c>
      <c r="D7" s="18" t="s">
        <v>50</v>
      </c>
      <c r="E7" s="18" t="s">
        <v>30</v>
      </c>
      <c r="F7" s="18" t="s">
        <v>51</v>
      </c>
      <c r="G7" s="20">
        <v>6500000</v>
      </c>
      <c r="H7" s="20">
        <v>600000</v>
      </c>
      <c r="I7" s="21">
        <v>1</v>
      </c>
      <c r="J7" s="21">
        <v>2</v>
      </c>
      <c r="K7" s="21">
        <v>5</v>
      </c>
      <c r="L7" s="18" t="s">
        <v>52</v>
      </c>
    </row>
    <row r="8" spans="1:12" x14ac:dyDescent="0.25">
      <c r="A8" s="22" t="s">
        <v>53</v>
      </c>
      <c r="B8" s="23" t="s">
        <v>54</v>
      </c>
      <c r="C8" s="22" t="s">
        <v>13</v>
      </c>
      <c r="D8" s="22" t="s">
        <v>55</v>
      </c>
      <c r="E8" s="22" t="s">
        <v>30</v>
      </c>
      <c r="F8" s="22" t="s">
        <v>56</v>
      </c>
      <c r="G8" s="24">
        <v>7000000</v>
      </c>
      <c r="H8" s="24">
        <v>700000</v>
      </c>
      <c r="I8" s="25">
        <v>1</v>
      </c>
      <c r="J8" s="25">
        <v>2</v>
      </c>
      <c r="K8" s="25">
        <v>5</v>
      </c>
      <c r="L8" s="22" t="s">
        <v>57</v>
      </c>
    </row>
    <row r="9" spans="1:12" x14ac:dyDescent="0.25">
      <c r="A9" s="18" t="s">
        <v>58</v>
      </c>
      <c r="B9" s="19" t="s">
        <v>59</v>
      </c>
      <c r="C9" s="18" t="s">
        <v>13</v>
      </c>
      <c r="D9" s="18" t="s">
        <v>60</v>
      </c>
      <c r="E9" s="18" t="s">
        <v>30</v>
      </c>
      <c r="F9" s="18" t="s">
        <v>61</v>
      </c>
      <c r="G9" s="20">
        <v>5000000</v>
      </c>
      <c r="H9" s="20">
        <v>500000</v>
      </c>
      <c r="I9" s="21">
        <v>1</v>
      </c>
      <c r="J9" s="21">
        <v>2</v>
      </c>
      <c r="K9" s="21">
        <v>5</v>
      </c>
      <c r="L9" s="18" t="s">
        <v>62</v>
      </c>
    </row>
    <row r="10" spans="1:12" x14ac:dyDescent="0.25">
      <c r="A10" s="22" t="s">
        <v>63</v>
      </c>
      <c r="B10" s="23" t="s">
        <v>64</v>
      </c>
      <c r="C10" s="22" t="s">
        <v>16</v>
      </c>
      <c r="D10" s="22" t="s">
        <v>65</v>
      </c>
      <c r="E10" s="22" t="s">
        <v>30</v>
      </c>
      <c r="F10" s="22" t="s">
        <v>66</v>
      </c>
      <c r="G10" s="24">
        <v>6500000</v>
      </c>
      <c r="H10" s="24">
        <v>600000</v>
      </c>
      <c r="I10" s="25">
        <v>1</v>
      </c>
      <c r="J10" s="25">
        <v>2</v>
      </c>
      <c r="K10" s="25">
        <v>5</v>
      </c>
      <c r="L10" s="22" t="s">
        <v>67</v>
      </c>
    </row>
    <row r="11" spans="1:12" x14ac:dyDescent="0.25">
      <c r="A11" s="18" t="s">
        <v>68</v>
      </c>
      <c r="B11" s="19" t="s">
        <v>69</v>
      </c>
      <c r="C11" s="18" t="s">
        <v>16</v>
      </c>
      <c r="D11" s="18" t="s">
        <v>70</v>
      </c>
      <c r="E11" s="18" t="s">
        <v>30</v>
      </c>
      <c r="F11" s="18" t="s">
        <v>71</v>
      </c>
      <c r="G11" s="20">
        <v>7500000</v>
      </c>
      <c r="H11" s="20">
        <v>800000</v>
      </c>
      <c r="I11" s="21">
        <v>1</v>
      </c>
      <c r="J11" s="21">
        <v>2</v>
      </c>
      <c r="K11" s="21">
        <v>5</v>
      </c>
      <c r="L11" s="18" t="s">
        <v>72</v>
      </c>
    </row>
    <row r="12" spans="1:12" x14ac:dyDescent="0.25">
      <c r="A12" s="22" t="s">
        <v>73</v>
      </c>
      <c r="B12" s="23" t="s">
        <v>74</v>
      </c>
      <c r="C12" s="22" t="s">
        <v>7</v>
      </c>
      <c r="D12" s="22" t="s">
        <v>75</v>
      </c>
      <c r="E12" s="22" t="s">
        <v>30</v>
      </c>
      <c r="F12" s="22" t="s">
        <v>76</v>
      </c>
      <c r="G12" s="24">
        <v>7000000</v>
      </c>
      <c r="H12" s="24">
        <v>700000</v>
      </c>
      <c r="I12" s="25">
        <v>1</v>
      </c>
      <c r="J12" s="25">
        <v>2</v>
      </c>
      <c r="K12" s="25">
        <v>5</v>
      </c>
      <c r="L12" s="22" t="s">
        <v>77</v>
      </c>
    </row>
    <row r="13" spans="1:12" x14ac:dyDescent="0.25">
      <c r="A13" s="18" t="s">
        <v>78</v>
      </c>
      <c r="B13" s="19" t="s">
        <v>79</v>
      </c>
      <c r="C13" s="18" t="s">
        <v>7</v>
      </c>
      <c r="D13" s="18" t="s">
        <v>29</v>
      </c>
      <c r="E13" s="18" t="s">
        <v>30</v>
      </c>
      <c r="F13" s="18" t="s">
        <v>80</v>
      </c>
      <c r="G13" s="20">
        <v>6000000</v>
      </c>
      <c r="H13" s="20">
        <v>600000</v>
      </c>
      <c r="I13" s="21">
        <v>1</v>
      </c>
      <c r="J13" s="21">
        <v>2</v>
      </c>
      <c r="K13" s="21">
        <v>5</v>
      </c>
      <c r="L13" s="18" t="s">
        <v>81</v>
      </c>
    </row>
    <row r="14" spans="1:12" x14ac:dyDescent="0.25">
      <c r="A14" s="22" t="s">
        <v>82</v>
      </c>
      <c r="B14" s="23" t="s">
        <v>83</v>
      </c>
      <c r="C14" s="22" t="s">
        <v>9</v>
      </c>
      <c r="D14" s="22" t="s">
        <v>35</v>
      </c>
      <c r="E14" s="22" t="s">
        <v>30</v>
      </c>
      <c r="F14" s="22" t="s">
        <v>84</v>
      </c>
      <c r="G14" s="24">
        <v>6500000</v>
      </c>
      <c r="H14" s="24">
        <v>600000</v>
      </c>
      <c r="I14" s="25">
        <v>1</v>
      </c>
      <c r="J14" s="25">
        <v>2</v>
      </c>
      <c r="K14" s="25">
        <v>5</v>
      </c>
      <c r="L14" s="22" t="s">
        <v>85</v>
      </c>
    </row>
    <row r="15" spans="1:12" x14ac:dyDescent="0.25">
      <c r="A15" s="18" t="s">
        <v>86</v>
      </c>
      <c r="B15" s="19" t="s">
        <v>87</v>
      </c>
      <c r="C15" s="18" t="s">
        <v>9</v>
      </c>
      <c r="D15" s="18" t="s">
        <v>40</v>
      </c>
      <c r="E15" s="18" t="s">
        <v>30</v>
      </c>
      <c r="F15" s="18" t="s">
        <v>88</v>
      </c>
      <c r="G15" s="20">
        <v>7000000</v>
      </c>
      <c r="H15" s="20">
        <v>700000</v>
      </c>
      <c r="I15" s="21">
        <v>1</v>
      </c>
      <c r="J15" s="21">
        <v>2</v>
      </c>
      <c r="K15" s="21">
        <v>5</v>
      </c>
      <c r="L15" s="18" t="s">
        <v>89</v>
      </c>
    </row>
    <row r="16" spans="1:12" x14ac:dyDescent="0.25">
      <c r="A16" s="22" t="s">
        <v>90</v>
      </c>
      <c r="B16" s="23" t="s">
        <v>91</v>
      </c>
      <c r="C16" s="22" t="s">
        <v>11</v>
      </c>
      <c r="D16" s="22" t="s">
        <v>45</v>
      </c>
      <c r="E16" s="22" t="s">
        <v>30</v>
      </c>
      <c r="F16" s="22" t="s">
        <v>92</v>
      </c>
      <c r="G16" s="24">
        <v>5000000</v>
      </c>
      <c r="H16" s="24">
        <v>500000</v>
      </c>
      <c r="I16" s="25">
        <v>1</v>
      </c>
      <c r="J16" s="25">
        <v>2</v>
      </c>
      <c r="K16" s="25">
        <v>5</v>
      </c>
      <c r="L16" s="22" t="s">
        <v>93</v>
      </c>
    </row>
    <row r="17" spans="1:12" x14ac:dyDescent="0.25">
      <c r="A17" s="18" t="s">
        <v>94</v>
      </c>
      <c r="B17" s="19" t="s">
        <v>95</v>
      </c>
      <c r="C17" s="18" t="s">
        <v>11</v>
      </c>
      <c r="D17" s="18" t="s">
        <v>50</v>
      </c>
      <c r="E17" s="18" t="s">
        <v>30</v>
      </c>
      <c r="F17" s="18" t="s">
        <v>96</v>
      </c>
      <c r="G17" s="20">
        <v>6000000</v>
      </c>
      <c r="H17" s="20">
        <v>600000</v>
      </c>
      <c r="I17" s="21">
        <v>1</v>
      </c>
      <c r="J17" s="21">
        <v>2</v>
      </c>
      <c r="K17" s="21">
        <v>5</v>
      </c>
      <c r="L17" s="18" t="s">
        <v>97</v>
      </c>
    </row>
    <row r="18" spans="1:12" x14ac:dyDescent="0.25">
      <c r="A18" s="22" t="s">
        <v>98</v>
      </c>
      <c r="B18" s="23" t="s">
        <v>99</v>
      </c>
      <c r="C18" s="22" t="s">
        <v>13</v>
      </c>
      <c r="D18" s="22" t="s">
        <v>55</v>
      </c>
      <c r="E18" s="22" t="s">
        <v>100</v>
      </c>
      <c r="F18" s="22" t="s">
        <v>101</v>
      </c>
      <c r="G18" s="24">
        <v>6000000</v>
      </c>
      <c r="H18" s="24">
        <v>600000</v>
      </c>
      <c r="I18" s="25">
        <v>1</v>
      </c>
      <c r="J18" s="25">
        <v>2</v>
      </c>
      <c r="K18" s="25">
        <v>5</v>
      </c>
      <c r="L18" s="22" t="s">
        <v>102</v>
      </c>
    </row>
    <row r="19" spans="1:12" x14ac:dyDescent="0.25">
      <c r="A19" s="18" t="s">
        <v>103</v>
      </c>
      <c r="B19" s="19" t="s">
        <v>104</v>
      </c>
      <c r="C19" s="18" t="s">
        <v>13</v>
      </c>
      <c r="D19" s="18" t="s">
        <v>60</v>
      </c>
      <c r="E19" s="18" t="s">
        <v>100</v>
      </c>
      <c r="F19" s="18" t="s">
        <v>105</v>
      </c>
      <c r="G19" s="20">
        <v>4500000</v>
      </c>
      <c r="H19" s="20">
        <v>400000</v>
      </c>
      <c r="I19" s="21">
        <v>1</v>
      </c>
      <c r="J19" s="21">
        <v>2</v>
      </c>
      <c r="K19" s="21">
        <v>5</v>
      </c>
      <c r="L19" s="18" t="s">
        <v>106</v>
      </c>
    </row>
    <row r="20" spans="1:12" x14ac:dyDescent="0.25">
      <c r="A20" s="22" t="s">
        <v>107</v>
      </c>
      <c r="B20" s="23" t="s">
        <v>108</v>
      </c>
      <c r="C20" s="22" t="s">
        <v>16</v>
      </c>
      <c r="D20" s="22" t="s">
        <v>65</v>
      </c>
      <c r="E20" s="22" t="s">
        <v>100</v>
      </c>
      <c r="F20" s="22" t="s">
        <v>109</v>
      </c>
      <c r="G20" s="24">
        <v>7000000</v>
      </c>
      <c r="H20" s="24">
        <v>700000</v>
      </c>
      <c r="I20" s="25">
        <v>1</v>
      </c>
      <c r="J20" s="25">
        <v>2</v>
      </c>
      <c r="K20" s="25">
        <v>5</v>
      </c>
      <c r="L20" s="22" t="s">
        <v>110</v>
      </c>
    </row>
    <row r="21" spans="1:12" x14ac:dyDescent="0.25">
      <c r="A21" s="18" t="s">
        <v>111</v>
      </c>
      <c r="B21" s="19" t="s">
        <v>112</v>
      </c>
      <c r="C21" s="18" t="s">
        <v>16</v>
      </c>
      <c r="D21" s="18" t="s">
        <v>70</v>
      </c>
      <c r="E21" s="18" t="s">
        <v>100</v>
      </c>
      <c r="F21" s="18" t="s">
        <v>113</v>
      </c>
      <c r="G21" s="20">
        <v>8000000</v>
      </c>
      <c r="H21" s="20">
        <v>800000</v>
      </c>
      <c r="I21" s="21">
        <v>1</v>
      </c>
      <c r="J21" s="21">
        <v>2</v>
      </c>
      <c r="K21" s="21">
        <v>5</v>
      </c>
      <c r="L21" s="18" t="s">
        <v>114</v>
      </c>
    </row>
    <row r="22" spans="1:12" x14ac:dyDescent="0.25">
      <c r="A22" s="22" t="s">
        <v>115</v>
      </c>
      <c r="B22" s="23" t="s">
        <v>116</v>
      </c>
      <c r="C22" s="22" t="s">
        <v>7</v>
      </c>
      <c r="D22" s="22" t="s">
        <v>75</v>
      </c>
      <c r="E22" s="22" t="s">
        <v>100</v>
      </c>
      <c r="F22" s="22" t="s">
        <v>117</v>
      </c>
      <c r="G22" s="24">
        <v>6500000</v>
      </c>
      <c r="H22" s="24">
        <v>600000</v>
      </c>
      <c r="I22" s="25">
        <v>1</v>
      </c>
      <c r="J22" s="25">
        <v>2</v>
      </c>
      <c r="K22" s="25">
        <v>5</v>
      </c>
      <c r="L22" s="22" t="s">
        <v>118</v>
      </c>
    </row>
  </sheetData>
  <autoFilter ref="A2:L22" xr:uid="{00000000-0009-0000-0000-000001000000}"/>
  <mergeCells count="1">
    <mergeCell ref="A1:L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showGridLines="0" zoomScaleNormal="100" workbookViewId="0">
      <pane ySplit="2" topLeftCell="A3" activePane="bottomLeft" state="frozen"/>
      <selection pane="bottomLeft" activeCell="M6" sqref="M6"/>
    </sheetView>
  </sheetViews>
  <sheetFormatPr defaultColWidth="8.7109375" defaultRowHeight="15" x14ac:dyDescent="0.25"/>
  <cols>
    <col min="1" max="1" width="12" customWidth="1"/>
    <col min="2" max="2" width="22" customWidth="1"/>
    <col min="3" max="3" width="12" customWidth="1"/>
    <col min="4" max="7" width="10" customWidth="1"/>
    <col min="8" max="9" width="14" customWidth="1"/>
    <col min="10" max="10" width="18" customWidth="1"/>
  </cols>
  <sheetData>
    <row r="1" spans="1:10" ht="25.5" customHeight="1" x14ac:dyDescent="0.25">
      <c r="A1" s="1" t="s">
        <v>150</v>
      </c>
      <c r="B1" s="1"/>
      <c r="C1" s="1"/>
      <c r="D1" s="1"/>
      <c r="E1" s="1"/>
      <c r="F1" s="1"/>
      <c r="G1" s="1"/>
      <c r="H1" s="1"/>
      <c r="I1" s="1"/>
      <c r="J1" s="1"/>
    </row>
    <row r="2" spans="1:10" ht="25.5" x14ac:dyDescent="0.25">
      <c r="A2" s="7" t="s">
        <v>17</v>
      </c>
      <c r="B2" s="7" t="s">
        <v>119</v>
      </c>
      <c r="C2" s="7" t="s">
        <v>120</v>
      </c>
      <c r="D2" s="7" t="s">
        <v>121</v>
      </c>
      <c r="E2" s="7" t="s">
        <v>122</v>
      </c>
      <c r="F2" s="7" t="s">
        <v>123</v>
      </c>
      <c r="G2" s="7" t="s">
        <v>124</v>
      </c>
      <c r="H2" s="7" t="s">
        <v>125</v>
      </c>
      <c r="I2" s="7" t="s">
        <v>126</v>
      </c>
      <c r="J2" s="7" t="s">
        <v>127</v>
      </c>
    </row>
    <row r="3" spans="1:10" x14ac:dyDescent="0.25">
      <c r="A3" s="8" t="s">
        <v>27</v>
      </c>
      <c r="B3" s="26" t="s">
        <v>28</v>
      </c>
      <c r="C3" s="8">
        <v>22</v>
      </c>
      <c r="D3" s="8">
        <v>18</v>
      </c>
      <c r="E3" s="8">
        <v>0</v>
      </c>
      <c r="F3" s="8">
        <v>0</v>
      </c>
      <c r="G3" s="8">
        <v>4</v>
      </c>
      <c r="H3" s="8">
        <v>9</v>
      </c>
      <c r="I3" s="11">
        <f t="shared" ref="I3:I22" si="0">IF(C3=0,0,D3/C3)</f>
        <v>0.81818181818181823</v>
      </c>
      <c r="J3" s="8" t="str">
        <f t="shared" ref="J3:J22" si="1">IF(I3&gt;=0.9,"Baik",IF(I3&gt;=0.75,"Cukup","Perlu Perhatian"))</f>
        <v>Cukup</v>
      </c>
    </row>
    <row r="4" spans="1:10" x14ac:dyDescent="0.25">
      <c r="A4" s="12" t="s">
        <v>33</v>
      </c>
      <c r="B4" s="27" t="s">
        <v>34</v>
      </c>
      <c r="C4" s="12">
        <v>22</v>
      </c>
      <c r="D4" s="12">
        <v>18</v>
      </c>
      <c r="E4" s="12">
        <v>2</v>
      </c>
      <c r="F4" s="12">
        <v>0</v>
      </c>
      <c r="G4" s="12">
        <v>2</v>
      </c>
      <c r="H4" s="12">
        <v>9</v>
      </c>
      <c r="I4" s="15">
        <f t="shared" si="0"/>
        <v>0.81818181818181823</v>
      </c>
      <c r="J4" s="12" t="str">
        <f t="shared" si="1"/>
        <v>Cukup</v>
      </c>
    </row>
    <row r="5" spans="1:10" x14ac:dyDescent="0.25">
      <c r="A5" s="8" t="s">
        <v>38</v>
      </c>
      <c r="B5" s="26" t="s">
        <v>39</v>
      </c>
      <c r="C5" s="8">
        <v>22</v>
      </c>
      <c r="D5" s="8">
        <v>18</v>
      </c>
      <c r="E5" s="8">
        <v>1</v>
      </c>
      <c r="F5" s="8">
        <v>2</v>
      </c>
      <c r="G5" s="8">
        <v>1</v>
      </c>
      <c r="H5" s="8">
        <v>15</v>
      </c>
      <c r="I5" s="11">
        <f t="shared" si="0"/>
        <v>0.81818181818181823</v>
      </c>
      <c r="J5" s="8" t="str">
        <f t="shared" si="1"/>
        <v>Cukup</v>
      </c>
    </row>
    <row r="6" spans="1:10" x14ac:dyDescent="0.25">
      <c r="A6" s="12" t="s">
        <v>43</v>
      </c>
      <c r="B6" s="27" t="s">
        <v>44</v>
      </c>
      <c r="C6" s="12">
        <v>22</v>
      </c>
      <c r="D6" s="12">
        <v>22</v>
      </c>
      <c r="E6" s="12">
        <v>1</v>
      </c>
      <c r="F6" s="12">
        <v>1</v>
      </c>
      <c r="G6" s="12">
        <v>0</v>
      </c>
      <c r="H6" s="12">
        <v>16</v>
      </c>
      <c r="I6" s="15">
        <f t="shared" si="0"/>
        <v>1</v>
      </c>
      <c r="J6" s="12" t="str">
        <f t="shared" si="1"/>
        <v>Baik</v>
      </c>
    </row>
    <row r="7" spans="1:10" x14ac:dyDescent="0.25">
      <c r="A7" s="8" t="s">
        <v>48</v>
      </c>
      <c r="B7" s="26" t="s">
        <v>49</v>
      </c>
      <c r="C7" s="8">
        <v>22</v>
      </c>
      <c r="D7" s="8">
        <v>21</v>
      </c>
      <c r="E7" s="8">
        <v>1</v>
      </c>
      <c r="F7" s="8">
        <v>2</v>
      </c>
      <c r="G7" s="8">
        <v>0</v>
      </c>
      <c r="H7" s="8">
        <v>13</v>
      </c>
      <c r="I7" s="11">
        <f t="shared" si="0"/>
        <v>0.95454545454545459</v>
      </c>
      <c r="J7" s="8" t="str">
        <f t="shared" si="1"/>
        <v>Baik</v>
      </c>
    </row>
    <row r="8" spans="1:10" x14ac:dyDescent="0.25">
      <c r="A8" s="12" t="s">
        <v>53</v>
      </c>
      <c r="B8" s="27" t="s">
        <v>54</v>
      </c>
      <c r="C8" s="12">
        <v>22</v>
      </c>
      <c r="D8" s="12">
        <v>22</v>
      </c>
      <c r="E8" s="12">
        <v>2</v>
      </c>
      <c r="F8" s="12">
        <v>0</v>
      </c>
      <c r="G8" s="12">
        <v>0</v>
      </c>
      <c r="H8" s="12">
        <v>20</v>
      </c>
      <c r="I8" s="15">
        <f t="shared" si="0"/>
        <v>1</v>
      </c>
      <c r="J8" s="12" t="str">
        <f t="shared" si="1"/>
        <v>Baik</v>
      </c>
    </row>
    <row r="9" spans="1:10" x14ac:dyDescent="0.25">
      <c r="A9" s="8" t="s">
        <v>58</v>
      </c>
      <c r="B9" s="26" t="s">
        <v>59</v>
      </c>
      <c r="C9" s="8">
        <v>22</v>
      </c>
      <c r="D9" s="8">
        <v>20</v>
      </c>
      <c r="E9" s="8">
        <v>0</v>
      </c>
      <c r="F9" s="8">
        <v>0</v>
      </c>
      <c r="G9" s="8">
        <v>2</v>
      </c>
      <c r="H9" s="8">
        <v>16</v>
      </c>
      <c r="I9" s="11">
        <f t="shared" si="0"/>
        <v>0.90909090909090906</v>
      </c>
      <c r="J9" s="8" t="str">
        <f t="shared" si="1"/>
        <v>Baik</v>
      </c>
    </row>
    <row r="10" spans="1:10" x14ac:dyDescent="0.25">
      <c r="A10" s="12" t="s">
        <v>63</v>
      </c>
      <c r="B10" s="27" t="s">
        <v>64</v>
      </c>
      <c r="C10" s="12">
        <v>22</v>
      </c>
      <c r="D10" s="12">
        <v>18</v>
      </c>
      <c r="E10" s="12">
        <v>2</v>
      </c>
      <c r="F10" s="12">
        <v>1</v>
      </c>
      <c r="G10" s="12">
        <v>1</v>
      </c>
      <c r="H10" s="12">
        <v>7</v>
      </c>
      <c r="I10" s="15">
        <f t="shared" si="0"/>
        <v>0.81818181818181823</v>
      </c>
      <c r="J10" s="12" t="str">
        <f t="shared" si="1"/>
        <v>Cukup</v>
      </c>
    </row>
    <row r="11" spans="1:10" x14ac:dyDescent="0.25">
      <c r="A11" s="8" t="s">
        <v>68</v>
      </c>
      <c r="B11" s="26" t="s">
        <v>69</v>
      </c>
      <c r="C11" s="8">
        <v>22</v>
      </c>
      <c r="D11" s="8">
        <v>18</v>
      </c>
      <c r="E11" s="8">
        <v>1</v>
      </c>
      <c r="F11" s="8">
        <v>0</v>
      </c>
      <c r="G11" s="8">
        <v>3</v>
      </c>
      <c r="H11" s="8">
        <v>2</v>
      </c>
      <c r="I11" s="11">
        <f t="shared" si="0"/>
        <v>0.81818181818181823</v>
      </c>
      <c r="J11" s="8" t="str">
        <f t="shared" si="1"/>
        <v>Cukup</v>
      </c>
    </row>
    <row r="12" spans="1:10" x14ac:dyDescent="0.25">
      <c r="A12" s="12" t="s">
        <v>73</v>
      </c>
      <c r="B12" s="27" t="s">
        <v>74</v>
      </c>
      <c r="C12" s="12">
        <v>22</v>
      </c>
      <c r="D12" s="12">
        <v>22</v>
      </c>
      <c r="E12" s="12">
        <v>2</v>
      </c>
      <c r="F12" s="12">
        <v>2</v>
      </c>
      <c r="G12" s="12">
        <v>0</v>
      </c>
      <c r="H12" s="12">
        <v>13</v>
      </c>
      <c r="I12" s="15">
        <f t="shared" si="0"/>
        <v>1</v>
      </c>
      <c r="J12" s="12" t="str">
        <f t="shared" si="1"/>
        <v>Baik</v>
      </c>
    </row>
    <row r="13" spans="1:10" x14ac:dyDescent="0.25">
      <c r="A13" s="8" t="s">
        <v>78</v>
      </c>
      <c r="B13" s="26" t="s">
        <v>79</v>
      </c>
      <c r="C13" s="8">
        <v>22</v>
      </c>
      <c r="D13" s="8">
        <v>19</v>
      </c>
      <c r="E13" s="8">
        <v>0</v>
      </c>
      <c r="F13" s="8">
        <v>0</v>
      </c>
      <c r="G13" s="8">
        <v>3</v>
      </c>
      <c r="H13" s="8">
        <v>13</v>
      </c>
      <c r="I13" s="11">
        <f t="shared" si="0"/>
        <v>0.86363636363636365</v>
      </c>
      <c r="J13" s="8" t="str">
        <f t="shared" si="1"/>
        <v>Cukup</v>
      </c>
    </row>
    <row r="14" spans="1:10" x14ac:dyDescent="0.25">
      <c r="A14" s="12" t="s">
        <v>82</v>
      </c>
      <c r="B14" s="27" t="s">
        <v>83</v>
      </c>
      <c r="C14" s="12">
        <v>22</v>
      </c>
      <c r="D14" s="12">
        <v>19</v>
      </c>
      <c r="E14" s="12">
        <v>1</v>
      </c>
      <c r="F14" s="12">
        <v>1</v>
      </c>
      <c r="G14" s="12">
        <v>1</v>
      </c>
      <c r="H14" s="12">
        <v>0</v>
      </c>
      <c r="I14" s="15">
        <f t="shared" si="0"/>
        <v>0.86363636363636365</v>
      </c>
      <c r="J14" s="12" t="str">
        <f t="shared" si="1"/>
        <v>Cukup</v>
      </c>
    </row>
    <row r="15" spans="1:10" x14ac:dyDescent="0.25">
      <c r="A15" s="8" t="s">
        <v>86</v>
      </c>
      <c r="B15" s="26" t="s">
        <v>87</v>
      </c>
      <c r="C15" s="8">
        <v>22</v>
      </c>
      <c r="D15" s="8">
        <v>18</v>
      </c>
      <c r="E15" s="8">
        <v>1</v>
      </c>
      <c r="F15" s="8">
        <v>1</v>
      </c>
      <c r="G15" s="8">
        <v>2</v>
      </c>
      <c r="H15" s="8">
        <v>10</v>
      </c>
      <c r="I15" s="11">
        <f t="shared" si="0"/>
        <v>0.81818181818181823</v>
      </c>
      <c r="J15" s="8" t="str">
        <f t="shared" si="1"/>
        <v>Cukup</v>
      </c>
    </row>
    <row r="16" spans="1:10" x14ac:dyDescent="0.25">
      <c r="A16" s="12" t="s">
        <v>90</v>
      </c>
      <c r="B16" s="27" t="s">
        <v>91</v>
      </c>
      <c r="C16" s="12">
        <v>22</v>
      </c>
      <c r="D16" s="12">
        <v>20</v>
      </c>
      <c r="E16" s="12">
        <v>2</v>
      </c>
      <c r="F16" s="12">
        <v>0</v>
      </c>
      <c r="G16" s="12">
        <v>0</v>
      </c>
      <c r="H16" s="12">
        <v>7</v>
      </c>
      <c r="I16" s="15">
        <f t="shared" si="0"/>
        <v>0.90909090909090906</v>
      </c>
      <c r="J16" s="12" t="str">
        <f t="shared" si="1"/>
        <v>Baik</v>
      </c>
    </row>
    <row r="17" spans="1:10" x14ac:dyDescent="0.25">
      <c r="A17" s="8" t="s">
        <v>94</v>
      </c>
      <c r="B17" s="26" t="s">
        <v>95</v>
      </c>
      <c r="C17" s="8">
        <v>22</v>
      </c>
      <c r="D17" s="8">
        <v>21</v>
      </c>
      <c r="E17" s="8">
        <v>0</v>
      </c>
      <c r="F17" s="8">
        <v>0</v>
      </c>
      <c r="G17" s="8">
        <v>1</v>
      </c>
      <c r="H17" s="8">
        <v>7</v>
      </c>
      <c r="I17" s="11">
        <f t="shared" si="0"/>
        <v>0.95454545454545459</v>
      </c>
      <c r="J17" s="8" t="str">
        <f t="shared" si="1"/>
        <v>Baik</v>
      </c>
    </row>
    <row r="18" spans="1:10" x14ac:dyDescent="0.25">
      <c r="A18" s="12" t="s">
        <v>98</v>
      </c>
      <c r="B18" s="27" t="s">
        <v>99</v>
      </c>
      <c r="C18" s="12">
        <v>22</v>
      </c>
      <c r="D18" s="12">
        <v>20</v>
      </c>
      <c r="E18" s="12">
        <v>2</v>
      </c>
      <c r="F18" s="12">
        <v>0</v>
      </c>
      <c r="G18" s="12">
        <v>0</v>
      </c>
      <c r="H18" s="12">
        <v>14</v>
      </c>
      <c r="I18" s="15">
        <f t="shared" si="0"/>
        <v>0.90909090909090906</v>
      </c>
      <c r="J18" s="12" t="str">
        <f t="shared" si="1"/>
        <v>Baik</v>
      </c>
    </row>
    <row r="19" spans="1:10" x14ac:dyDescent="0.25">
      <c r="A19" s="8" t="s">
        <v>103</v>
      </c>
      <c r="B19" s="26" t="s">
        <v>104</v>
      </c>
      <c r="C19" s="8">
        <v>22</v>
      </c>
      <c r="D19" s="8">
        <v>19</v>
      </c>
      <c r="E19" s="8">
        <v>1</v>
      </c>
      <c r="F19" s="8">
        <v>2</v>
      </c>
      <c r="G19" s="8">
        <v>0</v>
      </c>
      <c r="H19" s="8">
        <v>4</v>
      </c>
      <c r="I19" s="11">
        <f t="shared" si="0"/>
        <v>0.86363636363636365</v>
      </c>
      <c r="J19" s="8" t="str">
        <f t="shared" si="1"/>
        <v>Cukup</v>
      </c>
    </row>
    <row r="20" spans="1:10" x14ac:dyDescent="0.25">
      <c r="A20" s="12" t="s">
        <v>107</v>
      </c>
      <c r="B20" s="27" t="s">
        <v>108</v>
      </c>
      <c r="C20" s="12">
        <v>22</v>
      </c>
      <c r="D20" s="12">
        <v>21</v>
      </c>
      <c r="E20" s="12">
        <v>1</v>
      </c>
      <c r="F20" s="12">
        <v>2</v>
      </c>
      <c r="G20" s="12">
        <v>0</v>
      </c>
      <c r="H20" s="12">
        <v>19</v>
      </c>
      <c r="I20" s="15">
        <f t="shared" si="0"/>
        <v>0.95454545454545459</v>
      </c>
      <c r="J20" s="12" t="str">
        <f t="shared" si="1"/>
        <v>Baik</v>
      </c>
    </row>
    <row r="21" spans="1:10" x14ac:dyDescent="0.25">
      <c r="A21" s="8" t="s">
        <v>111</v>
      </c>
      <c r="B21" s="26" t="s">
        <v>112</v>
      </c>
      <c r="C21" s="8">
        <v>22</v>
      </c>
      <c r="D21" s="8">
        <v>18</v>
      </c>
      <c r="E21" s="8">
        <v>1</v>
      </c>
      <c r="F21" s="8">
        <v>2</v>
      </c>
      <c r="G21" s="8">
        <v>1</v>
      </c>
      <c r="H21" s="8">
        <v>2</v>
      </c>
      <c r="I21" s="11">
        <f t="shared" si="0"/>
        <v>0.81818181818181823</v>
      </c>
      <c r="J21" s="8" t="str">
        <f t="shared" si="1"/>
        <v>Cukup</v>
      </c>
    </row>
    <row r="22" spans="1:10" x14ac:dyDescent="0.25">
      <c r="A22" s="12" t="s">
        <v>115</v>
      </c>
      <c r="B22" s="27" t="s">
        <v>116</v>
      </c>
      <c r="C22" s="12">
        <v>22</v>
      </c>
      <c r="D22" s="12">
        <v>20</v>
      </c>
      <c r="E22" s="12">
        <v>0</v>
      </c>
      <c r="F22" s="12">
        <v>2</v>
      </c>
      <c r="G22" s="12">
        <v>0</v>
      </c>
      <c r="H22" s="12">
        <v>8</v>
      </c>
      <c r="I22" s="15">
        <f t="shared" si="0"/>
        <v>0.90909090909090906</v>
      </c>
      <c r="J22" s="12" t="str">
        <f t="shared" si="1"/>
        <v>Baik</v>
      </c>
    </row>
    <row r="23" spans="1:10" ht="25.5" x14ac:dyDescent="0.25">
      <c r="A23" s="7" t="s">
        <v>128</v>
      </c>
      <c r="B23" s="7"/>
      <c r="C23" s="7">
        <f t="shared" ref="C23:H23" si="2">SUM(C3:C22)</f>
        <v>440</v>
      </c>
      <c r="D23" s="7">
        <f t="shared" si="2"/>
        <v>392</v>
      </c>
      <c r="E23" s="7">
        <f t="shared" si="2"/>
        <v>21</v>
      </c>
      <c r="F23" s="7">
        <f t="shared" si="2"/>
        <v>18</v>
      </c>
      <c r="G23" s="7">
        <f t="shared" si="2"/>
        <v>21</v>
      </c>
      <c r="H23" s="7">
        <f t="shared" si="2"/>
        <v>204</v>
      </c>
      <c r="I23" s="28">
        <f>AVERAGE(I3:I22)</f>
        <v>0.89090909090909087</v>
      </c>
      <c r="J23" s="7" t="s">
        <v>129</v>
      </c>
    </row>
  </sheetData>
  <mergeCells count="1">
    <mergeCell ref="A1:J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"/>
  <sheetViews>
    <sheetView showGridLines="0" zoomScaleNormal="100" workbookViewId="0">
      <pane ySplit="2" topLeftCell="A3" activePane="bottomLeft" state="frozen"/>
      <selection pane="bottomLeft" activeCell="G5" sqref="G5"/>
    </sheetView>
  </sheetViews>
  <sheetFormatPr defaultColWidth="8.7109375" defaultRowHeight="15" x14ac:dyDescent="0.25"/>
  <cols>
    <col min="1" max="1" width="12" customWidth="1"/>
    <col min="2" max="2" width="22" customWidth="1"/>
    <col min="3" max="4" width="16" customWidth="1"/>
    <col min="5" max="5" width="14" customWidth="1"/>
    <col min="6" max="6" width="16" customWidth="1"/>
    <col min="7" max="7" width="14" customWidth="1"/>
    <col min="8" max="9" width="12" customWidth="1"/>
    <col min="10" max="11" width="16" customWidth="1"/>
    <col min="12" max="13" width="14" customWidth="1"/>
  </cols>
  <sheetData>
    <row r="1" spans="1:13" ht="25.5" customHeight="1" x14ac:dyDescent="0.25">
      <c r="A1" s="1" t="s">
        <v>151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5.5" x14ac:dyDescent="0.25">
      <c r="A2" s="7" t="s">
        <v>17</v>
      </c>
      <c r="B2" s="7" t="s">
        <v>119</v>
      </c>
      <c r="C2" s="7" t="s">
        <v>130</v>
      </c>
      <c r="D2" s="7" t="s">
        <v>131</v>
      </c>
      <c r="E2" s="7" t="s">
        <v>132</v>
      </c>
      <c r="F2" s="7" t="s">
        <v>133</v>
      </c>
      <c r="G2" s="7" t="s">
        <v>134</v>
      </c>
      <c r="H2" s="7" t="s">
        <v>135</v>
      </c>
      <c r="I2" s="7" t="s">
        <v>136</v>
      </c>
      <c r="J2" s="7" t="s">
        <v>137</v>
      </c>
      <c r="K2" s="7" t="s">
        <v>138</v>
      </c>
      <c r="L2" s="7" t="s">
        <v>139</v>
      </c>
      <c r="M2" s="7" t="s">
        <v>140</v>
      </c>
    </row>
    <row r="3" spans="1:13" x14ac:dyDescent="0.25">
      <c r="A3" s="8" t="s">
        <v>27</v>
      </c>
      <c r="B3" s="26" t="s">
        <v>28</v>
      </c>
      <c r="C3" s="9">
        <f>VLOOKUP(A3,'Data Karyawan'!$A:$G,7,0)</f>
        <v>6500000</v>
      </c>
      <c r="D3" s="9">
        <f>VLOOKUP(A3,'Data Karyawan'!$A:$H,8,0)</f>
        <v>600000</v>
      </c>
      <c r="E3" s="9">
        <f>VLOOKUP(A3,'Rekap Absensi'!$A:$H,8,0)*56358</f>
        <v>507222</v>
      </c>
      <c r="F3" s="9">
        <f t="shared" ref="F3:F22" si="0">C3+D3+E3</f>
        <v>7607222</v>
      </c>
      <c r="G3" s="9">
        <f>C3*(VLOOKUP(A3,'Data Karyawan'!$A:$I,9,0)/100)</f>
        <v>65000</v>
      </c>
      <c r="H3" s="9">
        <f>C3*(VLOOKUP(A3,'Data Karyawan'!$A:$J,10,0)/100)</f>
        <v>130000</v>
      </c>
      <c r="I3" s="9">
        <f>C3*(VLOOKUP(A3,'Data Karyawan'!$A:$K,11,0)/100)</f>
        <v>325000</v>
      </c>
      <c r="J3" s="9">
        <f t="shared" ref="J3:J22" si="1">G3+H3+I3</f>
        <v>520000</v>
      </c>
      <c r="K3" s="9">
        <f t="shared" ref="K3:K22" si="2">F3-J3</f>
        <v>7087222</v>
      </c>
      <c r="L3" s="10" t="s">
        <v>141</v>
      </c>
      <c r="M3" s="8" t="s">
        <v>142</v>
      </c>
    </row>
    <row r="4" spans="1:13" x14ac:dyDescent="0.25">
      <c r="A4" s="12" t="s">
        <v>33</v>
      </c>
      <c r="B4" s="27" t="s">
        <v>34</v>
      </c>
      <c r="C4" s="13">
        <f>VLOOKUP(A4,'Data Karyawan'!$A:$G,7,0)</f>
        <v>5000000</v>
      </c>
      <c r="D4" s="13">
        <f>VLOOKUP(A4,'Data Karyawan'!$A:$H,8,0)</f>
        <v>500000</v>
      </c>
      <c r="E4" s="13">
        <f>VLOOKUP(A4,'Rekap Absensi'!$A:$H,8,0)*43353</f>
        <v>390177</v>
      </c>
      <c r="F4" s="13">
        <f t="shared" si="0"/>
        <v>5890177</v>
      </c>
      <c r="G4" s="13">
        <f>C4*(VLOOKUP(A4,'Data Karyawan'!$A:$I,9,0)/100)</f>
        <v>50000</v>
      </c>
      <c r="H4" s="13">
        <f>C4*(VLOOKUP(A4,'Data Karyawan'!$A:$J,10,0)/100)</f>
        <v>100000</v>
      </c>
      <c r="I4" s="13">
        <f>C4*(VLOOKUP(A4,'Data Karyawan'!$A:$K,11,0)/100)</f>
        <v>250000</v>
      </c>
      <c r="J4" s="13">
        <f t="shared" si="1"/>
        <v>400000</v>
      </c>
      <c r="K4" s="13">
        <f t="shared" si="2"/>
        <v>5490177</v>
      </c>
      <c r="L4" s="29" t="s">
        <v>141</v>
      </c>
      <c r="M4" s="12" t="s">
        <v>142</v>
      </c>
    </row>
    <row r="5" spans="1:13" x14ac:dyDescent="0.25">
      <c r="A5" s="8" t="s">
        <v>38</v>
      </c>
      <c r="B5" s="26" t="s">
        <v>39</v>
      </c>
      <c r="C5" s="9">
        <f>VLOOKUP(A5,'Data Karyawan'!$A:$G,7,0)</f>
        <v>6000000</v>
      </c>
      <c r="D5" s="9">
        <f>VLOOKUP(A5,'Data Karyawan'!$A:$H,8,0)</f>
        <v>600000</v>
      </c>
      <c r="E5" s="9">
        <f>VLOOKUP(A5,'Rekap Absensi'!$A:$H,8,0)*52023</f>
        <v>780345</v>
      </c>
      <c r="F5" s="9">
        <f t="shared" si="0"/>
        <v>7380345</v>
      </c>
      <c r="G5" s="9">
        <f>C5*(VLOOKUP(A5,'Data Karyawan'!$A:$I,9,0)/100)</f>
        <v>60000</v>
      </c>
      <c r="H5" s="9">
        <f>C5*(VLOOKUP(A5,'Data Karyawan'!$A:$J,10,0)/100)</f>
        <v>120000</v>
      </c>
      <c r="I5" s="9">
        <f>C5*(VLOOKUP(A5,'Data Karyawan'!$A:$K,11,0)/100)</f>
        <v>300000</v>
      </c>
      <c r="J5" s="9">
        <f t="shared" si="1"/>
        <v>480000</v>
      </c>
      <c r="K5" s="9">
        <f t="shared" si="2"/>
        <v>6900345</v>
      </c>
      <c r="L5" s="10" t="s">
        <v>141</v>
      </c>
      <c r="M5" s="8" t="s">
        <v>142</v>
      </c>
    </row>
    <row r="6" spans="1:13" x14ac:dyDescent="0.25">
      <c r="A6" s="12" t="s">
        <v>43</v>
      </c>
      <c r="B6" s="27" t="s">
        <v>44</v>
      </c>
      <c r="C6" s="13">
        <f>VLOOKUP(A6,'Data Karyawan'!$A:$G,7,0)</f>
        <v>6000000</v>
      </c>
      <c r="D6" s="13">
        <f>VLOOKUP(A6,'Data Karyawan'!$A:$H,8,0)</f>
        <v>600000</v>
      </c>
      <c r="E6" s="13">
        <f>VLOOKUP(A6,'Rekap Absensi'!$A:$H,8,0)*52023</f>
        <v>832368</v>
      </c>
      <c r="F6" s="13">
        <f t="shared" si="0"/>
        <v>7432368</v>
      </c>
      <c r="G6" s="13">
        <f>C6*(VLOOKUP(A6,'Data Karyawan'!$A:$I,9,0)/100)</f>
        <v>60000</v>
      </c>
      <c r="H6" s="13">
        <f>C6*(VLOOKUP(A6,'Data Karyawan'!$A:$J,10,0)/100)</f>
        <v>120000</v>
      </c>
      <c r="I6" s="13">
        <f>C6*(VLOOKUP(A6,'Data Karyawan'!$A:$K,11,0)/100)</f>
        <v>300000</v>
      </c>
      <c r="J6" s="13">
        <f t="shared" si="1"/>
        <v>480000</v>
      </c>
      <c r="K6" s="13">
        <f t="shared" si="2"/>
        <v>6952368</v>
      </c>
      <c r="L6" s="29" t="s">
        <v>141</v>
      </c>
      <c r="M6" s="12" t="s">
        <v>142</v>
      </c>
    </row>
    <row r="7" spans="1:13" x14ac:dyDescent="0.25">
      <c r="A7" s="8" t="s">
        <v>48</v>
      </c>
      <c r="B7" s="26" t="s">
        <v>49</v>
      </c>
      <c r="C7" s="9">
        <f>VLOOKUP(A7,'Data Karyawan'!$A:$G,7,0)</f>
        <v>6500000</v>
      </c>
      <c r="D7" s="9">
        <f>VLOOKUP(A7,'Data Karyawan'!$A:$H,8,0)</f>
        <v>600000</v>
      </c>
      <c r="E7" s="9">
        <f>VLOOKUP(A7,'Rekap Absensi'!$A:$H,8,0)*56358</f>
        <v>732654</v>
      </c>
      <c r="F7" s="9">
        <f t="shared" si="0"/>
        <v>7832654</v>
      </c>
      <c r="G7" s="9">
        <f>C7*(VLOOKUP(A7,'Data Karyawan'!$A:$I,9,0)/100)</f>
        <v>65000</v>
      </c>
      <c r="H7" s="9">
        <f>C7*(VLOOKUP(A7,'Data Karyawan'!$A:$J,10,0)/100)</f>
        <v>130000</v>
      </c>
      <c r="I7" s="9">
        <f>C7*(VLOOKUP(A7,'Data Karyawan'!$A:$K,11,0)/100)</f>
        <v>325000</v>
      </c>
      <c r="J7" s="9">
        <f t="shared" si="1"/>
        <v>520000</v>
      </c>
      <c r="K7" s="9">
        <f t="shared" si="2"/>
        <v>7312654</v>
      </c>
      <c r="L7" s="10" t="s">
        <v>141</v>
      </c>
      <c r="M7" s="8" t="s">
        <v>142</v>
      </c>
    </row>
    <row r="8" spans="1:13" x14ac:dyDescent="0.25">
      <c r="A8" s="12" t="s">
        <v>53</v>
      </c>
      <c r="B8" s="27" t="s">
        <v>54</v>
      </c>
      <c r="C8" s="13">
        <f>VLOOKUP(A8,'Data Karyawan'!$A:$G,7,0)</f>
        <v>7000000</v>
      </c>
      <c r="D8" s="13">
        <f>VLOOKUP(A8,'Data Karyawan'!$A:$H,8,0)</f>
        <v>700000</v>
      </c>
      <c r="E8" s="13">
        <f>VLOOKUP(A8,'Rekap Absensi'!$A:$H,8,0)*60694</f>
        <v>1213880</v>
      </c>
      <c r="F8" s="13">
        <f t="shared" si="0"/>
        <v>8913880</v>
      </c>
      <c r="G8" s="13">
        <f>C8*(VLOOKUP(A8,'Data Karyawan'!$A:$I,9,0)/100)</f>
        <v>70000</v>
      </c>
      <c r="H8" s="13">
        <f>C8*(VLOOKUP(A8,'Data Karyawan'!$A:$J,10,0)/100)</f>
        <v>140000</v>
      </c>
      <c r="I8" s="13">
        <f>C8*(VLOOKUP(A8,'Data Karyawan'!$A:$K,11,0)/100)</f>
        <v>350000</v>
      </c>
      <c r="J8" s="13">
        <f t="shared" si="1"/>
        <v>560000</v>
      </c>
      <c r="K8" s="13">
        <f t="shared" si="2"/>
        <v>8353880</v>
      </c>
      <c r="L8" s="29" t="s">
        <v>141</v>
      </c>
      <c r="M8" s="12" t="s">
        <v>142</v>
      </c>
    </row>
    <row r="9" spans="1:13" x14ac:dyDescent="0.25">
      <c r="A9" s="8" t="s">
        <v>58</v>
      </c>
      <c r="B9" s="26" t="s">
        <v>59</v>
      </c>
      <c r="C9" s="9">
        <f>VLOOKUP(A9,'Data Karyawan'!$A:$G,7,0)</f>
        <v>5000000</v>
      </c>
      <c r="D9" s="9">
        <f>VLOOKUP(A9,'Data Karyawan'!$A:$H,8,0)</f>
        <v>500000</v>
      </c>
      <c r="E9" s="9">
        <f>VLOOKUP(A9,'Rekap Absensi'!$A:$H,8,0)*43353</f>
        <v>693648</v>
      </c>
      <c r="F9" s="9">
        <f t="shared" si="0"/>
        <v>6193648</v>
      </c>
      <c r="G9" s="9">
        <f>C9*(VLOOKUP(A9,'Data Karyawan'!$A:$I,9,0)/100)</f>
        <v>50000</v>
      </c>
      <c r="H9" s="9">
        <f>C9*(VLOOKUP(A9,'Data Karyawan'!$A:$J,10,0)/100)</f>
        <v>100000</v>
      </c>
      <c r="I9" s="9">
        <f>C9*(VLOOKUP(A9,'Data Karyawan'!$A:$K,11,0)/100)</f>
        <v>250000</v>
      </c>
      <c r="J9" s="9">
        <f t="shared" si="1"/>
        <v>400000</v>
      </c>
      <c r="K9" s="9">
        <f t="shared" si="2"/>
        <v>5793648</v>
      </c>
      <c r="L9" s="10" t="s">
        <v>141</v>
      </c>
      <c r="M9" s="8" t="s">
        <v>142</v>
      </c>
    </row>
    <row r="10" spans="1:13" x14ac:dyDescent="0.25">
      <c r="A10" s="12" t="s">
        <v>63</v>
      </c>
      <c r="B10" s="27" t="s">
        <v>64</v>
      </c>
      <c r="C10" s="13">
        <f>VLOOKUP(A10,'Data Karyawan'!$A:$G,7,0)</f>
        <v>6500000</v>
      </c>
      <c r="D10" s="13">
        <f>VLOOKUP(A10,'Data Karyawan'!$A:$H,8,0)</f>
        <v>600000</v>
      </c>
      <c r="E10" s="13">
        <f>VLOOKUP(A10,'Rekap Absensi'!$A:$H,8,0)*56358</f>
        <v>394506</v>
      </c>
      <c r="F10" s="13">
        <f t="shared" si="0"/>
        <v>7494506</v>
      </c>
      <c r="G10" s="13">
        <f>C10*(VLOOKUP(A10,'Data Karyawan'!$A:$I,9,0)/100)</f>
        <v>65000</v>
      </c>
      <c r="H10" s="13">
        <f>C10*(VLOOKUP(A10,'Data Karyawan'!$A:$J,10,0)/100)</f>
        <v>130000</v>
      </c>
      <c r="I10" s="13">
        <f>C10*(VLOOKUP(A10,'Data Karyawan'!$A:$K,11,0)/100)</f>
        <v>325000</v>
      </c>
      <c r="J10" s="13">
        <f t="shared" si="1"/>
        <v>520000</v>
      </c>
      <c r="K10" s="13">
        <f t="shared" si="2"/>
        <v>6974506</v>
      </c>
      <c r="L10" s="29" t="s">
        <v>141</v>
      </c>
      <c r="M10" s="12" t="s">
        <v>142</v>
      </c>
    </row>
    <row r="11" spans="1:13" x14ac:dyDescent="0.25">
      <c r="A11" s="8" t="s">
        <v>68</v>
      </c>
      <c r="B11" s="26" t="s">
        <v>69</v>
      </c>
      <c r="C11" s="9">
        <f>VLOOKUP(A11,'Data Karyawan'!$A:$G,7,0)</f>
        <v>7500000</v>
      </c>
      <c r="D11" s="9">
        <f>VLOOKUP(A11,'Data Karyawan'!$A:$H,8,0)</f>
        <v>800000</v>
      </c>
      <c r="E11" s="9">
        <f>VLOOKUP(A11,'Rekap Absensi'!$A:$H,8,0)*65029</f>
        <v>130058</v>
      </c>
      <c r="F11" s="9">
        <f t="shared" si="0"/>
        <v>8430058</v>
      </c>
      <c r="G11" s="9">
        <f>C11*(VLOOKUP(A11,'Data Karyawan'!$A:$I,9,0)/100)</f>
        <v>75000</v>
      </c>
      <c r="H11" s="9">
        <f>C11*(VLOOKUP(A11,'Data Karyawan'!$A:$J,10,0)/100)</f>
        <v>150000</v>
      </c>
      <c r="I11" s="9">
        <f>C11*(VLOOKUP(A11,'Data Karyawan'!$A:$K,11,0)/100)</f>
        <v>375000</v>
      </c>
      <c r="J11" s="9">
        <f t="shared" si="1"/>
        <v>600000</v>
      </c>
      <c r="K11" s="9">
        <f t="shared" si="2"/>
        <v>7830058</v>
      </c>
      <c r="L11" s="10" t="s">
        <v>141</v>
      </c>
      <c r="M11" s="8" t="s">
        <v>142</v>
      </c>
    </row>
    <row r="12" spans="1:13" x14ac:dyDescent="0.25">
      <c r="A12" s="12" t="s">
        <v>73</v>
      </c>
      <c r="B12" s="27" t="s">
        <v>74</v>
      </c>
      <c r="C12" s="13">
        <f>VLOOKUP(A12,'Data Karyawan'!$A:$G,7,0)</f>
        <v>7000000</v>
      </c>
      <c r="D12" s="13">
        <f>VLOOKUP(A12,'Data Karyawan'!$A:$H,8,0)</f>
        <v>700000</v>
      </c>
      <c r="E12" s="13">
        <f>VLOOKUP(A12,'Rekap Absensi'!$A:$H,8,0)*60694</f>
        <v>789022</v>
      </c>
      <c r="F12" s="13">
        <f t="shared" si="0"/>
        <v>8489022</v>
      </c>
      <c r="G12" s="13">
        <f>C12*(VLOOKUP(A12,'Data Karyawan'!$A:$I,9,0)/100)</f>
        <v>70000</v>
      </c>
      <c r="H12" s="13">
        <f>C12*(VLOOKUP(A12,'Data Karyawan'!$A:$J,10,0)/100)</f>
        <v>140000</v>
      </c>
      <c r="I12" s="13">
        <f>C12*(VLOOKUP(A12,'Data Karyawan'!$A:$K,11,0)/100)</f>
        <v>350000</v>
      </c>
      <c r="J12" s="13">
        <f t="shared" si="1"/>
        <v>560000</v>
      </c>
      <c r="K12" s="13">
        <f t="shared" si="2"/>
        <v>7929022</v>
      </c>
      <c r="L12" s="29" t="s">
        <v>141</v>
      </c>
      <c r="M12" s="12" t="s">
        <v>142</v>
      </c>
    </row>
    <row r="13" spans="1:13" x14ac:dyDescent="0.25">
      <c r="A13" s="8" t="s">
        <v>78</v>
      </c>
      <c r="B13" s="26" t="s">
        <v>79</v>
      </c>
      <c r="C13" s="9">
        <f>VLOOKUP(A13,'Data Karyawan'!$A:$G,7,0)</f>
        <v>6000000</v>
      </c>
      <c r="D13" s="9">
        <f>VLOOKUP(A13,'Data Karyawan'!$A:$H,8,0)</f>
        <v>600000</v>
      </c>
      <c r="E13" s="9">
        <f>VLOOKUP(A13,'Rekap Absensi'!$A:$H,8,0)*52023</f>
        <v>676299</v>
      </c>
      <c r="F13" s="9">
        <f t="shared" si="0"/>
        <v>7276299</v>
      </c>
      <c r="G13" s="9">
        <f>C13*(VLOOKUP(A13,'Data Karyawan'!$A:$I,9,0)/100)</f>
        <v>60000</v>
      </c>
      <c r="H13" s="9">
        <f>C13*(VLOOKUP(A13,'Data Karyawan'!$A:$J,10,0)/100)</f>
        <v>120000</v>
      </c>
      <c r="I13" s="9">
        <f>C13*(VLOOKUP(A13,'Data Karyawan'!$A:$K,11,0)/100)</f>
        <v>300000</v>
      </c>
      <c r="J13" s="9">
        <f t="shared" si="1"/>
        <v>480000</v>
      </c>
      <c r="K13" s="9">
        <f t="shared" si="2"/>
        <v>6796299</v>
      </c>
      <c r="L13" s="10" t="s">
        <v>141</v>
      </c>
      <c r="M13" s="8" t="s">
        <v>142</v>
      </c>
    </row>
    <row r="14" spans="1:13" x14ac:dyDescent="0.25">
      <c r="A14" s="12" t="s">
        <v>82</v>
      </c>
      <c r="B14" s="27" t="s">
        <v>83</v>
      </c>
      <c r="C14" s="13">
        <f>VLOOKUP(A14,'Data Karyawan'!$A:$G,7,0)</f>
        <v>6500000</v>
      </c>
      <c r="D14" s="13">
        <f>VLOOKUP(A14,'Data Karyawan'!$A:$H,8,0)</f>
        <v>600000</v>
      </c>
      <c r="E14" s="13">
        <f>VLOOKUP(A14,'Rekap Absensi'!$A:$H,8,0)*56358</f>
        <v>0</v>
      </c>
      <c r="F14" s="13">
        <f t="shared" si="0"/>
        <v>7100000</v>
      </c>
      <c r="G14" s="13">
        <f>C14*(VLOOKUP(A14,'Data Karyawan'!$A:$I,9,0)/100)</f>
        <v>65000</v>
      </c>
      <c r="H14" s="13">
        <f>C14*(VLOOKUP(A14,'Data Karyawan'!$A:$J,10,0)/100)</f>
        <v>130000</v>
      </c>
      <c r="I14" s="13">
        <f>C14*(VLOOKUP(A14,'Data Karyawan'!$A:$K,11,0)/100)</f>
        <v>325000</v>
      </c>
      <c r="J14" s="13">
        <f t="shared" si="1"/>
        <v>520000</v>
      </c>
      <c r="K14" s="13">
        <f t="shared" si="2"/>
        <v>6580000</v>
      </c>
      <c r="L14" s="29" t="s">
        <v>141</v>
      </c>
      <c r="M14" s="12" t="s">
        <v>142</v>
      </c>
    </row>
    <row r="15" spans="1:13" x14ac:dyDescent="0.25">
      <c r="A15" s="8" t="s">
        <v>86</v>
      </c>
      <c r="B15" s="26" t="s">
        <v>87</v>
      </c>
      <c r="C15" s="9">
        <f>VLOOKUP(A15,'Data Karyawan'!$A:$G,7,0)</f>
        <v>7000000</v>
      </c>
      <c r="D15" s="9">
        <f>VLOOKUP(A15,'Data Karyawan'!$A:$H,8,0)</f>
        <v>700000</v>
      </c>
      <c r="E15" s="9">
        <f>VLOOKUP(A15,'Rekap Absensi'!$A:$H,8,0)*60694</f>
        <v>606940</v>
      </c>
      <c r="F15" s="9">
        <f t="shared" si="0"/>
        <v>8306940</v>
      </c>
      <c r="G15" s="9">
        <f>C15*(VLOOKUP(A15,'Data Karyawan'!$A:$I,9,0)/100)</f>
        <v>70000</v>
      </c>
      <c r="H15" s="9">
        <f>C15*(VLOOKUP(A15,'Data Karyawan'!$A:$J,10,0)/100)</f>
        <v>140000</v>
      </c>
      <c r="I15" s="9">
        <f>C15*(VLOOKUP(A15,'Data Karyawan'!$A:$K,11,0)/100)</f>
        <v>350000</v>
      </c>
      <c r="J15" s="9">
        <f t="shared" si="1"/>
        <v>560000</v>
      </c>
      <c r="K15" s="9">
        <f t="shared" si="2"/>
        <v>7746940</v>
      </c>
      <c r="L15" s="10" t="s">
        <v>141</v>
      </c>
      <c r="M15" s="8" t="s">
        <v>142</v>
      </c>
    </row>
    <row r="16" spans="1:13" x14ac:dyDescent="0.25">
      <c r="A16" s="12" t="s">
        <v>90</v>
      </c>
      <c r="B16" s="27" t="s">
        <v>91</v>
      </c>
      <c r="C16" s="13">
        <f>VLOOKUP(A16,'Data Karyawan'!$A:$G,7,0)</f>
        <v>5000000</v>
      </c>
      <c r="D16" s="13">
        <f>VLOOKUP(A16,'Data Karyawan'!$A:$H,8,0)</f>
        <v>500000</v>
      </c>
      <c r="E16" s="13">
        <f>VLOOKUP(A16,'Rekap Absensi'!$A:$H,8,0)*43353</f>
        <v>303471</v>
      </c>
      <c r="F16" s="13">
        <f t="shared" si="0"/>
        <v>5803471</v>
      </c>
      <c r="G16" s="13">
        <f>C16*(VLOOKUP(A16,'Data Karyawan'!$A:$I,9,0)/100)</f>
        <v>50000</v>
      </c>
      <c r="H16" s="13">
        <f>C16*(VLOOKUP(A16,'Data Karyawan'!$A:$J,10,0)/100)</f>
        <v>100000</v>
      </c>
      <c r="I16" s="13">
        <f>C16*(VLOOKUP(A16,'Data Karyawan'!$A:$K,11,0)/100)</f>
        <v>250000</v>
      </c>
      <c r="J16" s="13">
        <f t="shared" si="1"/>
        <v>400000</v>
      </c>
      <c r="K16" s="13">
        <f t="shared" si="2"/>
        <v>5403471</v>
      </c>
      <c r="L16" s="29" t="s">
        <v>141</v>
      </c>
      <c r="M16" s="12" t="s">
        <v>142</v>
      </c>
    </row>
    <row r="17" spans="1:13" x14ac:dyDescent="0.25">
      <c r="A17" s="8" t="s">
        <v>94</v>
      </c>
      <c r="B17" s="26" t="s">
        <v>95</v>
      </c>
      <c r="C17" s="9">
        <f>VLOOKUP(A17,'Data Karyawan'!$A:$G,7,0)</f>
        <v>6000000</v>
      </c>
      <c r="D17" s="9">
        <f>VLOOKUP(A17,'Data Karyawan'!$A:$H,8,0)</f>
        <v>600000</v>
      </c>
      <c r="E17" s="9">
        <f>VLOOKUP(A17,'Rekap Absensi'!$A:$H,8,0)*52023</f>
        <v>364161</v>
      </c>
      <c r="F17" s="9">
        <f t="shared" si="0"/>
        <v>6964161</v>
      </c>
      <c r="G17" s="9">
        <f>C17*(VLOOKUP(A17,'Data Karyawan'!$A:$I,9,0)/100)</f>
        <v>60000</v>
      </c>
      <c r="H17" s="9">
        <f>C17*(VLOOKUP(A17,'Data Karyawan'!$A:$J,10,0)/100)</f>
        <v>120000</v>
      </c>
      <c r="I17" s="9">
        <f>C17*(VLOOKUP(A17,'Data Karyawan'!$A:$K,11,0)/100)</f>
        <v>300000</v>
      </c>
      <c r="J17" s="9">
        <f t="shared" si="1"/>
        <v>480000</v>
      </c>
      <c r="K17" s="9">
        <f t="shared" si="2"/>
        <v>6484161</v>
      </c>
      <c r="L17" s="10" t="s">
        <v>141</v>
      </c>
      <c r="M17" s="8" t="s">
        <v>142</v>
      </c>
    </row>
    <row r="18" spans="1:13" x14ac:dyDescent="0.25">
      <c r="A18" s="12" t="s">
        <v>98</v>
      </c>
      <c r="B18" s="27" t="s">
        <v>99</v>
      </c>
      <c r="C18" s="13">
        <f>VLOOKUP(A18,'Data Karyawan'!$A:$G,7,0)</f>
        <v>6000000</v>
      </c>
      <c r="D18" s="13">
        <f>VLOOKUP(A18,'Data Karyawan'!$A:$H,8,0)</f>
        <v>600000</v>
      </c>
      <c r="E18" s="13">
        <f>VLOOKUP(A18,'Rekap Absensi'!$A:$H,8,0)*52023</f>
        <v>728322</v>
      </c>
      <c r="F18" s="13">
        <f t="shared" si="0"/>
        <v>7328322</v>
      </c>
      <c r="G18" s="13">
        <f>C18*(VLOOKUP(A18,'Data Karyawan'!$A:$I,9,0)/100)</f>
        <v>60000</v>
      </c>
      <c r="H18" s="13">
        <f>C18*(VLOOKUP(A18,'Data Karyawan'!$A:$J,10,0)/100)</f>
        <v>120000</v>
      </c>
      <c r="I18" s="13">
        <f>C18*(VLOOKUP(A18,'Data Karyawan'!$A:$K,11,0)/100)</f>
        <v>300000</v>
      </c>
      <c r="J18" s="13">
        <f t="shared" si="1"/>
        <v>480000</v>
      </c>
      <c r="K18" s="13">
        <f t="shared" si="2"/>
        <v>6848322</v>
      </c>
      <c r="L18" s="29" t="s">
        <v>141</v>
      </c>
      <c r="M18" s="12" t="s">
        <v>142</v>
      </c>
    </row>
    <row r="19" spans="1:13" x14ac:dyDescent="0.25">
      <c r="A19" s="8" t="s">
        <v>103</v>
      </c>
      <c r="B19" s="26" t="s">
        <v>104</v>
      </c>
      <c r="C19" s="9">
        <f>VLOOKUP(A19,'Data Karyawan'!$A:$G,7,0)</f>
        <v>4500000</v>
      </c>
      <c r="D19" s="9">
        <f>VLOOKUP(A19,'Data Karyawan'!$A:$H,8,0)</f>
        <v>400000</v>
      </c>
      <c r="E19" s="9">
        <f>VLOOKUP(A19,'Rekap Absensi'!$A:$H,8,0)*39017</f>
        <v>156068</v>
      </c>
      <c r="F19" s="9">
        <f t="shared" si="0"/>
        <v>5056068</v>
      </c>
      <c r="G19" s="9">
        <f>C19*(VLOOKUP(A19,'Data Karyawan'!$A:$I,9,0)/100)</f>
        <v>45000</v>
      </c>
      <c r="H19" s="9">
        <f>C19*(VLOOKUP(A19,'Data Karyawan'!$A:$J,10,0)/100)</f>
        <v>90000</v>
      </c>
      <c r="I19" s="9">
        <f>C19*(VLOOKUP(A19,'Data Karyawan'!$A:$K,11,0)/100)</f>
        <v>225000</v>
      </c>
      <c r="J19" s="9">
        <f t="shared" si="1"/>
        <v>360000</v>
      </c>
      <c r="K19" s="9">
        <f t="shared" si="2"/>
        <v>4696068</v>
      </c>
      <c r="L19" s="10" t="s">
        <v>141</v>
      </c>
      <c r="M19" s="8" t="s">
        <v>142</v>
      </c>
    </row>
    <row r="20" spans="1:13" x14ac:dyDescent="0.25">
      <c r="A20" s="12" t="s">
        <v>107</v>
      </c>
      <c r="B20" s="27" t="s">
        <v>108</v>
      </c>
      <c r="C20" s="13">
        <f>VLOOKUP(A20,'Data Karyawan'!$A:$G,7,0)</f>
        <v>7000000</v>
      </c>
      <c r="D20" s="13">
        <f>VLOOKUP(A20,'Data Karyawan'!$A:$H,8,0)</f>
        <v>700000</v>
      </c>
      <c r="E20" s="13">
        <f>VLOOKUP(A20,'Rekap Absensi'!$A:$H,8,0)*60694</f>
        <v>1153186</v>
      </c>
      <c r="F20" s="13">
        <f t="shared" si="0"/>
        <v>8853186</v>
      </c>
      <c r="G20" s="13">
        <f>C20*(VLOOKUP(A20,'Data Karyawan'!$A:$I,9,0)/100)</f>
        <v>70000</v>
      </c>
      <c r="H20" s="13">
        <f>C20*(VLOOKUP(A20,'Data Karyawan'!$A:$J,10,0)/100)</f>
        <v>140000</v>
      </c>
      <c r="I20" s="13">
        <f>C20*(VLOOKUP(A20,'Data Karyawan'!$A:$K,11,0)/100)</f>
        <v>350000</v>
      </c>
      <c r="J20" s="13">
        <f t="shared" si="1"/>
        <v>560000</v>
      </c>
      <c r="K20" s="13">
        <f t="shared" si="2"/>
        <v>8293186</v>
      </c>
      <c r="L20" s="29" t="s">
        <v>141</v>
      </c>
      <c r="M20" s="12" t="s">
        <v>142</v>
      </c>
    </row>
    <row r="21" spans="1:13" x14ac:dyDescent="0.25">
      <c r="A21" s="8" t="s">
        <v>111</v>
      </c>
      <c r="B21" s="26" t="s">
        <v>112</v>
      </c>
      <c r="C21" s="9">
        <f>VLOOKUP(A21,'Data Karyawan'!$A:$G,7,0)</f>
        <v>8000000</v>
      </c>
      <c r="D21" s="9">
        <f>VLOOKUP(A21,'Data Karyawan'!$A:$H,8,0)</f>
        <v>800000</v>
      </c>
      <c r="E21" s="9">
        <f>VLOOKUP(A21,'Rekap Absensi'!$A:$H,8,0)*69364</f>
        <v>138728</v>
      </c>
      <c r="F21" s="9">
        <f t="shared" si="0"/>
        <v>8938728</v>
      </c>
      <c r="G21" s="9">
        <f>C21*(VLOOKUP(A21,'Data Karyawan'!$A:$I,9,0)/100)</f>
        <v>80000</v>
      </c>
      <c r="H21" s="9">
        <f>C21*(VLOOKUP(A21,'Data Karyawan'!$A:$J,10,0)/100)</f>
        <v>160000</v>
      </c>
      <c r="I21" s="9">
        <f>C21*(VLOOKUP(A21,'Data Karyawan'!$A:$K,11,0)/100)</f>
        <v>400000</v>
      </c>
      <c r="J21" s="9">
        <f t="shared" si="1"/>
        <v>640000</v>
      </c>
      <c r="K21" s="9">
        <f t="shared" si="2"/>
        <v>8298728</v>
      </c>
      <c r="L21" s="10" t="s">
        <v>141</v>
      </c>
      <c r="M21" s="8" t="s">
        <v>142</v>
      </c>
    </row>
    <row r="22" spans="1:13" x14ac:dyDescent="0.25">
      <c r="A22" s="12" t="s">
        <v>115</v>
      </c>
      <c r="B22" s="27" t="s">
        <v>116</v>
      </c>
      <c r="C22" s="13">
        <f>VLOOKUP(A22,'Data Karyawan'!$A:$G,7,0)</f>
        <v>6500000</v>
      </c>
      <c r="D22" s="13">
        <f>VLOOKUP(A22,'Data Karyawan'!$A:$H,8,0)</f>
        <v>600000</v>
      </c>
      <c r="E22" s="13">
        <f>VLOOKUP(A22,'Rekap Absensi'!$A:$H,8,0)*56358</f>
        <v>450864</v>
      </c>
      <c r="F22" s="13">
        <f t="shared" si="0"/>
        <v>7550864</v>
      </c>
      <c r="G22" s="13">
        <f>C22*(VLOOKUP(A22,'Data Karyawan'!$A:$I,9,0)/100)</f>
        <v>65000</v>
      </c>
      <c r="H22" s="13">
        <f>C22*(VLOOKUP(A22,'Data Karyawan'!$A:$J,10,0)/100)</f>
        <v>130000</v>
      </c>
      <c r="I22" s="13">
        <f>C22*(VLOOKUP(A22,'Data Karyawan'!$A:$K,11,0)/100)</f>
        <v>325000</v>
      </c>
      <c r="J22" s="13">
        <f t="shared" si="1"/>
        <v>520000</v>
      </c>
      <c r="K22" s="13">
        <f t="shared" si="2"/>
        <v>7030864</v>
      </c>
      <c r="L22" s="29" t="s">
        <v>141</v>
      </c>
      <c r="M22" s="12" t="s">
        <v>142</v>
      </c>
    </row>
    <row r="23" spans="1:13" x14ac:dyDescent="0.25">
      <c r="A23" s="7" t="s">
        <v>14</v>
      </c>
      <c r="B23" s="7"/>
      <c r="C23" s="17">
        <f t="shared" ref="C23:K23" si="3">SUM(C3:C22)</f>
        <v>125500000</v>
      </c>
      <c r="D23" s="17">
        <f t="shared" si="3"/>
        <v>12300000</v>
      </c>
      <c r="E23" s="17">
        <f t="shared" si="3"/>
        <v>11041919</v>
      </c>
      <c r="F23" s="17">
        <f t="shared" si="3"/>
        <v>148841919</v>
      </c>
      <c r="G23" s="17">
        <f t="shared" si="3"/>
        <v>1255000</v>
      </c>
      <c r="H23" s="17">
        <f t="shared" si="3"/>
        <v>2510000</v>
      </c>
      <c r="I23" s="17">
        <f t="shared" si="3"/>
        <v>6275000</v>
      </c>
      <c r="J23" s="17">
        <f t="shared" si="3"/>
        <v>10040000</v>
      </c>
      <c r="K23" s="17">
        <f t="shared" si="3"/>
        <v>138801919</v>
      </c>
      <c r="L23" s="7" t="s">
        <v>129</v>
      </c>
      <c r="M23" s="7" t="s">
        <v>129</v>
      </c>
    </row>
  </sheetData>
  <mergeCells count="1">
    <mergeCell ref="A1:M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HR Dashboard</vt:lpstr>
      <vt:lpstr>Data Karyawan</vt:lpstr>
      <vt:lpstr>Rekap Absensi</vt:lpstr>
      <vt:lpstr>Slip Gaji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Rifky</dc:creator>
  <dc:description/>
  <cp:lastModifiedBy>RIFKY MARDIANSYAH</cp:lastModifiedBy>
  <cp:revision>0</cp:revision>
  <dcterms:created xsi:type="dcterms:W3CDTF">2026-04-23T00:24:11Z</dcterms:created>
  <dcterms:modified xsi:type="dcterms:W3CDTF">2026-04-23T16:28:58Z</dcterms:modified>
  <dc:language>en-US</dc:language>
</cp:coreProperties>
</file>