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39E1C9A3-406F-4257-9FA8-564817D0F030}" xr6:coauthVersionLast="47" xr6:coauthVersionMax="47" xr10:uidLastSave="{00000000-0000-0000-0000-000000000000}"/>
  <bookViews>
    <workbookView xWindow="-120" yWindow="-120" windowWidth="20730" windowHeight="11040" tabRatio="500" activeTab="3" xr2:uid="{00000000-000D-0000-FFFF-FFFF00000000}"/>
  </bookViews>
  <sheets>
    <sheet name="Budget Dashboard" sheetId="1" r:id="rId1"/>
    <sheet name="Anggaran" sheetId="2" r:id="rId2"/>
    <sheet name="Realisasi" sheetId="3" r:id="rId3"/>
    <sheet name="Budget vs Aktual" sheetId="4" r:id="rId4"/>
  </sheets>
  <definedNames>
    <definedName name="_xlnm._FilterDatabase" localSheetId="1" hidden="1">Anggaran!$A$2:$H$18</definedName>
    <definedName name="_xlnm._FilterDatabase" localSheetId="3" hidden="1">'Budget vs Aktual'!$A$2:$I$19</definedName>
    <definedName name="_xlnm._FilterDatabase" localSheetId="2" hidden="1">Realisasi!$A$2:$I$46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4" l="1"/>
  <c r="E18" i="4"/>
  <c r="I18" i="4" s="1"/>
  <c r="E17" i="4"/>
  <c r="H16" i="4"/>
  <c r="F16" i="4"/>
  <c r="E16" i="4"/>
  <c r="I16" i="4" s="1"/>
  <c r="F15" i="4"/>
  <c r="E15" i="4"/>
  <c r="I15" i="4" s="1"/>
  <c r="F14" i="4"/>
  <c r="E14" i="4"/>
  <c r="I14" i="4" s="1"/>
  <c r="G13" i="4"/>
  <c r="F13" i="4"/>
  <c r="E13" i="4"/>
  <c r="I13" i="4" s="1"/>
  <c r="F12" i="4"/>
  <c r="H12" i="4" s="1"/>
  <c r="E12" i="4"/>
  <c r="I12" i="4" s="1"/>
  <c r="F11" i="4"/>
  <c r="E11" i="4"/>
  <c r="H11" i="4" s="1"/>
  <c r="F10" i="4"/>
  <c r="E10" i="4"/>
  <c r="I10" i="4" s="1"/>
  <c r="F9" i="4"/>
  <c r="E9" i="4"/>
  <c r="I9" i="4" s="1"/>
  <c r="H8" i="4"/>
  <c r="F8" i="4"/>
  <c r="E8" i="4"/>
  <c r="G7" i="4"/>
  <c r="F7" i="4"/>
  <c r="E7" i="4"/>
  <c r="H7" i="4" s="1"/>
  <c r="F6" i="4"/>
  <c r="E6" i="4"/>
  <c r="F5" i="4"/>
  <c r="E5" i="4"/>
  <c r="H5" i="4" s="1"/>
  <c r="F4" i="4"/>
  <c r="E4" i="4"/>
  <c r="I4" i="4" s="1"/>
  <c r="F3" i="4"/>
  <c r="E3" i="4"/>
  <c r="H3" i="4" s="1"/>
  <c r="G47" i="3"/>
  <c r="F17" i="4" s="1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C18" i="1" s="1"/>
  <c r="D18" i="1" s="1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C15" i="1" s="1"/>
  <c r="E5" i="3"/>
  <c r="D5" i="3"/>
  <c r="E4" i="3"/>
  <c r="D4" i="3"/>
  <c r="E3" i="3"/>
  <c r="D3" i="3"/>
  <c r="C14" i="1" s="1"/>
  <c r="D14" i="1" s="1"/>
  <c r="G19" i="2"/>
  <c r="F19" i="2"/>
  <c r="E19" i="2"/>
  <c r="H18" i="2"/>
  <c r="H17" i="2"/>
  <c r="H16" i="2"/>
  <c r="H15" i="2"/>
  <c r="H14" i="2"/>
  <c r="H13" i="2"/>
  <c r="H12" i="2"/>
  <c r="H11" i="2"/>
  <c r="H10" i="2"/>
  <c r="H9" i="2"/>
  <c r="H8" i="2"/>
  <c r="A7" i="1" s="1"/>
  <c r="H7" i="2"/>
  <c r="H6" i="2"/>
  <c r="H19" i="2" s="1"/>
  <c r="H5" i="2"/>
  <c r="H4" i="2"/>
  <c r="H3" i="2"/>
  <c r="B18" i="1"/>
  <c r="B17" i="1"/>
  <c r="L16" i="1"/>
  <c r="B16" i="1"/>
  <c r="L15" i="1"/>
  <c r="B15" i="1"/>
  <c r="L14" i="1"/>
  <c r="B14" i="1"/>
  <c r="L13" i="1"/>
  <c r="B13" i="1"/>
  <c r="I7" i="1"/>
  <c r="E7" i="1"/>
  <c r="I6" i="4" l="1"/>
  <c r="H4" i="4"/>
  <c r="G9" i="4"/>
  <c r="G16" i="4"/>
  <c r="I7" i="4"/>
  <c r="E14" i="1"/>
  <c r="G5" i="4"/>
  <c r="H10" i="4"/>
  <c r="I5" i="4"/>
  <c r="G8" i="4"/>
  <c r="H14" i="4"/>
  <c r="I17" i="4"/>
  <c r="F20" i="4"/>
  <c r="E15" i="1"/>
  <c r="E18" i="1"/>
  <c r="I3" i="4"/>
  <c r="I11" i="4"/>
  <c r="C13" i="1"/>
  <c r="C17" i="1"/>
  <c r="D17" i="1" s="1"/>
  <c r="B19" i="1"/>
  <c r="I8" i="4"/>
  <c r="G10" i="4"/>
  <c r="H13" i="4"/>
  <c r="G18" i="4"/>
  <c r="G15" i="4"/>
  <c r="H18" i="4"/>
  <c r="C16" i="1"/>
  <c r="E16" i="1" s="1"/>
  <c r="G4" i="4"/>
  <c r="G12" i="4"/>
  <c r="H15" i="4"/>
  <c r="G17" i="4"/>
  <c r="E20" i="4"/>
  <c r="G6" i="4"/>
  <c r="H9" i="4"/>
  <c r="G14" i="4"/>
  <c r="H17" i="4"/>
  <c r="G3" i="4"/>
  <c r="H6" i="4"/>
  <c r="G11" i="4"/>
  <c r="D15" i="1"/>
  <c r="L7" i="1" l="1"/>
  <c r="K16" i="1"/>
  <c r="K15" i="1"/>
  <c r="K13" i="1"/>
  <c r="K14" i="1"/>
  <c r="D13" i="1"/>
  <c r="C19" i="1"/>
  <c r="D19" i="1" s="1"/>
  <c r="D16" i="1"/>
  <c r="E17" i="1"/>
  <c r="E19" i="1"/>
  <c r="H20" i="4"/>
  <c r="G20" i="4"/>
  <c r="E13" i="1"/>
  <c r="K17" i="1" l="1"/>
</calcChain>
</file>

<file path=xl/sharedStrings.xml><?xml version="1.0" encoding="utf-8"?>
<sst xmlns="http://schemas.openxmlformats.org/spreadsheetml/2006/main" count="458" uniqueCount="158">
  <si>
    <t>Anggaran Q2 · Realisasi April · Budget vs Aktual  ·  Formula: SUMIF, VLOOKUP, IF  ·  Rifky Mardiansyah</t>
  </si>
  <si>
    <t>Divisi</t>
  </si>
  <si>
    <t>Anggaran April (Rp)</t>
  </si>
  <si>
    <t>Realisasi (Rp)</t>
  </si>
  <si>
    <t>Selisih (Rp)</t>
  </si>
  <si>
    <t>% Serapan</t>
  </si>
  <si>
    <t>Status</t>
  </si>
  <si>
    <t>Jumlah</t>
  </si>
  <si>
    <t>% Total</t>
  </si>
  <si>
    <t>IT</t>
  </si>
  <si>
    <t>On Track</t>
  </si>
  <si>
    <t>HR</t>
  </si>
  <si>
    <t>Over Budget</t>
  </si>
  <si>
    <t>Finance</t>
  </si>
  <si>
    <t>Under Utilized</t>
  </si>
  <si>
    <t>Marketing</t>
  </si>
  <si>
    <t>Tidak Dianggarkan</t>
  </si>
  <si>
    <t>Operations</t>
  </si>
  <si>
    <t>TOTAL</t>
  </si>
  <si>
    <t>Umum</t>
  </si>
  <si>
    <t>Kode Anggaran</t>
  </si>
  <si>
    <t>Kategori Biaya</t>
  </si>
  <si>
    <t>Deskripsi</t>
  </si>
  <si>
    <t>Anggaran April</t>
  </si>
  <si>
    <t>Anggaran Mei</t>
  </si>
  <si>
    <t>Anggaran Juni</t>
  </si>
  <si>
    <t>Total Anggaran Q2</t>
  </si>
  <si>
    <t>BGT-001</t>
  </si>
  <si>
    <t>Operasional</t>
  </si>
  <si>
    <t>Biaya Langganan Software</t>
  </si>
  <si>
    <t>BGT-002</t>
  </si>
  <si>
    <t>Maintenance Perangkat</t>
  </si>
  <si>
    <t>BGT-003</t>
  </si>
  <si>
    <t>Pengembangan</t>
  </si>
  <si>
    <t>Pelatihan &amp; Sertifikasi</t>
  </si>
  <si>
    <t>BGT-004</t>
  </si>
  <si>
    <t>Rekrutmen</t>
  </si>
  <si>
    <t>Iklan Lowongan Kerja</t>
  </si>
  <si>
    <t>BGT-005</t>
  </si>
  <si>
    <t>Alat Tulis Kantor</t>
  </si>
  <si>
    <t>BGT-006</t>
  </si>
  <si>
    <t>Training Karyawan</t>
  </si>
  <si>
    <t>BGT-007</t>
  </si>
  <si>
    <t>Biaya Audit</t>
  </si>
  <si>
    <t>BGT-008</t>
  </si>
  <si>
    <t>Biaya Akuntansi</t>
  </si>
  <si>
    <t>BGT-009</t>
  </si>
  <si>
    <t>Promosi</t>
  </si>
  <si>
    <t>Iklan Digital</t>
  </si>
  <si>
    <t>BGT-010</t>
  </si>
  <si>
    <t>Event &amp; Sponsorship</t>
  </si>
  <si>
    <t>BGT-011</t>
  </si>
  <si>
    <t>Desain &amp; Konten</t>
  </si>
  <si>
    <t>BGT-012</t>
  </si>
  <si>
    <t>Logistik</t>
  </si>
  <si>
    <t>Biaya Pengiriman</t>
  </si>
  <si>
    <t>BGT-013</t>
  </si>
  <si>
    <t>Kebersihan &amp; Fasilitas</t>
  </si>
  <si>
    <t>BGT-014</t>
  </si>
  <si>
    <t>Listrik &amp; Air</t>
  </si>
  <si>
    <t>BGT-015</t>
  </si>
  <si>
    <t>Transportasi Dinas</t>
  </si>
  <si>
    <t>BGT-016</t>
  </si>
  <si>
    <t>Konsumsi Rapat</t>
  </si>
  <si>
    <t>No. Bukti</t>
  </si>
  <si>
    <t>Tanggal</t>
  </si>
  <si>
    <t>Kategori</t>
  </si>
  <si>
    <t>Deskripsi Pengeluaran</t>
  </si>
  <si>
    <t>Jumlah (Rp)</t>
  </si>
  <si>
    <t>Disetujui Oleh</t>
  </si>
  <si>
    <t>Keterangan</t>
  </si>
  <si>
    <t>BKT-0001</t>
  </si>
  <si>
    <t>2026-04-13</t>
  </si>
  <si>
    <t>Manajer HR</t>
  </si>
  <si>
    <t>Melebihi anggaran</t>
  </si>
  <si>
    <t>BKT-0002</t>
  </si>
  <si>
    <t>2026-04-21</t>
  </si>
  <si>
    <t>Direktur</t>
  </si>
  <si>
    <t>Sesuai anggaran</t>
  </si>
  <si>
    <t>BKT-0003</t>
  </si>
  <si>
    <t>2026-04-01</t>
  </si>
  <si>
    <t>BKT-0004</t>
  </si>
  <si>
    <t>2026-04-08</t>
  </si>
  <si>
    <t>Manajer Ops</t>
  </si>
  <si>
    <t>BKT-0005</t>
  </si>
  <si>
    <t>2026-04-06</t>
  </si>
  <si>
    <t>BKT-0006</t>
  </si>
  <si>
    <t>2026-04-14</t>
  </si>
  <si>
    <t>Manajer IT</t>
  </si>
  <si>
    <t>BKT-0007</t>
  </si>
  <si>
    <t>2026-04-15</t>
  </si>
  <si>
    <t>BKT-0008</t>
  </si>
  <si>
    <t>BKT-0009</t>
  </si>
  <si>
    <t>2026-04-30</t>
  </si>
  <si>
    <t>BKT-0010</t>
  </si>
  <si>
    <t>2026-04-17</t>
  </si>
  <si>
    <t>BKT-0011</t>
  </si>
  <si>
    <t>2026-04-27</t>
  </si>
  <si>
    <t>BKT-0012</t>
  </si>
  <si>
    <t>Manajer Marketing</t>
  </si>
  <si>
    <t>BKT-0013</t>
  </si>
  <si>
    <t>2026-04-05</t>
  </si>
  <si>
    <t>BKT-0014</t>
  </si>
  <si>
    <t>BKT-0015</t>
  </si>
  <si>
    <t>BKT-0016</t>
  </si>
  <si>
    <t>2026-04-03</t>
  </si>
  <si>
    <t>BKT-0017</t>
  </si>
  <si>
    <t>2026-04-07</t>
  </si>
  <si>
    <t>BKT-0018</t>
  </si>
  <si>
    <t>2026-04-28</t>
  </si>
  <si>
    <t>BKT-0019</t>
  </si>
  <si>
    <t>2026-04-11</t>
  </si>
  <si>
    <t>Manajer Finance</t>
  </si>
  <si>
    <t>BKT-0020</t>
  </si>
  <si>
    <t>2026-04-22</t>
  </si>
  <si>
    <t>BKT-0021</t>
  </si>
  <si>
    <t>2026-04-26</t>
  </si>
  <si>
    <t>BKT-0022</t>
  </si>
  <si>
    <t>BKT-0023</t>
  </si>
  <si>
    <t>BKT-0024</t>
  </si>
  <si>
    <t>2026-04-02</t>
  </si>
  <si>
    <t>BKT-0025</t>
  </si>
  <si>
    <t>BKT-0026</t>
  </si>
  <si>
    <t>2026-04-24</t>
  </si>
  <si>
    <t>BKT-0027</t>
  </si>
  <si>
    <t>2026-04-18</t>
  </si>
  <si>
    <t>BKT-0028</t>
  </si>
  <si>
    <t>BKT-0029</t>
  </si>
  <si>
    <t>BKT-0030</t>
  </si>
  <si>
    <t>BKT-0031</t>
  </si>
  <si>
    <t>2026-04-10</t>
  </si>
  <si>
    <t>BKT-0032</t>
  </si>
  <si>
    <t>BKT-0033</t>
  </si>
  <si>
    <t>BKT-0034</t>
  </si>
  <si>
    <t>BKT-0035</t>
  </si>
  <si>
    <t>2026-04-16</t>
  </si>
  <si>
    <t>BKT-0036</t>
  </si>
  <si>
    <t>BKT-0037</t>
  </si>
  <si>
    <t>BKT-0038</t>
  </si>
  <si>
    <t>BKT-0039</t>
  </si>
  <si>
    <t>BKT-0040</t>
  </si>
  <si>
    <t>BKT-0041</t>
  </si>
  <si>
    <t>2026-04-12</t>
  </si>
  <si>
    <t>BKT-0042</t>
  </si>
  <si>
    <t>BKT-0043</t>
  </si>
  <si>
    <t>BKT-0044</t>
  </si>
  <si>
    <t>Kode</t>
  </si>
  <si>
    <t>% Realisasi</t>
  </si>
  <si>
    <t>—</t>
  </si>
  <si>
    <t xml:space="preserve">BUDGET &amp; EXPENSE REPORT - Q2 2026  </t>
  </si>
  <si>
    <t>Total Anggaran Q2 (Rp)</t>
  </si>
  <si>
    <t>Realisasi April (Rp)</t>
  </si>
  <si>
    <t>% Serapan Anggaran</t>
  </si>
  <si>
    <t>Anggaran &amp; Realisasi per Divisi (April)</t>
  </si>
  <si>
    <t>Status Anggaran</t>
  </si>
  <si>
    <t xml:space="preserve">RENCANA ANGGARAN - Q2 2026 (April–Juni) </t>
  </si>
  <si>
    <t xml:space="preserve">REALISASI PENGELUARAN - APRIL 2026 </t>
  </si>
  <si>
    <t xml:space="preserve">BUDGET vs REALISASI - APRIL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</si>
</sst>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9"/>
      <color rgb="FFFFFFFF"/>
      <name val="Arial"/>
      <charset val="1"/>
    </font>
    <font>
      <b/>
      <sz val="11"/>
      <color rgb="FFFFFFFF"/>
      <name val="Arial"/>
      <charset val="1"/>
    </font>
    <font>
      <b/>
      <sz val="18"/>
      <color rgb="FF1A1A2E"/>
      <name val="Arial"/>
      <charset val="1"/>
    </font>
    <font>
      <b/>
      <sz val="10"/>
      <color rgb="FFFFFFFF"/>
      <name val="Arial"/>
      <charset val="1"/>
    </font>
    <font>
      <sz val="10"/>
      <color rgb="FF2C3E50"/>
      <name val="Arial"/>
      <charset val="1"/>
    </font>
    <font>
      <b/>
      <sz val="10"/>
      <color rgb="FF1E8449"/>
      <name val="Arial"/>
      <charset val="1"/>
    </font>
    <font>
      <b/>
      <sz val="10"/>
      <color rgb="FFC0392B"/>
      <name val="Arial"/>
      <charset val="1"/>
    </font>
    <font>
      <b/>
      <sz val="10"/>
      <color rgb="FFD35400"/>
      <name val="Arial"/>
      <charset val="1"/>
    </font>
    <font>
      <b/>
      <sz val="10"/>
      <color rgb="FF7F8C8D"/>
      <name val="Arial"/>
      <charset val="1"/>
    </font>
    <font>
      <b/>
      <sz val="12"/>
      <color rgb="FFFFFFFF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1A1A2E"/>
        <bgColor rgb="FF333333"/>
      </patternFill>
    </fill>
    <fill>
      <patternFill patternType="solid">
        <fgColor rgb="FF0F3460"/>
        <bgColor rgb="FF2C3E50"/>
      </patternFill>
    </fill>
    <fill>
      <patternFill patternType="solid">
        <fgColor rgb="FFF4F6F9"/>
        <bgColor rgb="FFFFFFFF"/>
      </patternFill>
    </fill>
    <fill>
      <patternFill patternType="solid">
        <fgColor rgb="FFFFFFFF"/>
        <bgColor rgb="FFF4F6F9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D5D8DC"/>
      </left>
      <right style="thin">
        <color rgb="FFD5D8DC"/>
      </right>
      <top style="thin">
        <color rgb="FFD5D8DC"/>
      </top>
      <bottom style="thin">
        <color rgb="FFD5D8DC"/>
      </bottom>
      <diagonal/>
    </border>
    <border>
      <left/>
      <right/>
      <top/>
      <bottom style="thin">
        <color rgb="FF333333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1" fillId="2" borderId="0" xfId="0" applyFont="1" applyFill="1" applyBorder="1" applyAlignment="1">
      <alignment horizontal="center" vertical="center" wrapText="1"/>
    </xf>
    <xf numFmtId="164" fontId="4" fillId="4" borderId="0" xfId="0" applyNumberFormat="1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3" fontId="6" fillId="5" borderId="2" xfId="0" applyNumberFormat="1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8C8D"/>
      <rgbColor rgb="FF9999FF"/>
      <rgbColor rgb="FF993366"/>
      <rgbColor rgb="FFF4F6F9"/>
      <rgbColor rgb="FFCCFFFF"/>
      <rgbColor rgb="FF660066"/>
      <rgbColor rgb="FFFF8080"/>
      <rgbColor rgb="FF0066CC"/>
      <rgbColor rgb="FFD5D8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D35400"/>
      <rgbColor rgb="FF666699"/>
      <rgbColor rgb="FF969696"/>
      <rgbColor rgb="FF0F3460"/>
      <rgbColor rgb="FF1E8449"/>
      <rgbColor rgb="FF003300"/>
      <rgbColor rgb="FF1A1A2E"/>
      <rgbColor rgb="FFC0392B"/>
      <rgbColor rgb="FF993366"/>
      <rgbColor rgb="FF2C3E50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showGridLines="0" topLeftCell="A10" zoomScaleNormal="100" workbookViewId="0">
      <selection activeCell="G21" sqref="G21"/>
    </sheetView>
  </sheetViews>
  <sheetFormatPr defaultColWidth="8.7109375" defaultRowHeight="15" x14ac:dyDescent="0.25"/>
  <cols>
    <col min="1" max="15" width="16" customWidth="1"/>
  </cols>
  <sheetData>
    <row r="1" spans="1:14" ht="31.5" customHeight="1" x14ac:dyDescent="0.25">
      <c r="A1" s="6" t="s">
        <v>149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8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8" customHeight="1" x14ac:dyDescent="0.25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8" customHeight="1" x14ac:dyDescent="0.25"/>
    <row r="5" spans="1:14" ht="18" customHeight="1" x14ac:dyDescent="0.25">
      <c r="A5" s="4" t="s">
        <v>150</v>
      </c>
      <c r="B5" s="4"/>
      <c r="C5" s="4"/>
      <c r="D5" s="4"/>
      <c r="E5" s="4" t="s">
        <v>151</v>
      </c>
      <c r="F5" s="4"/>
      <c r="G5" s="4"/>
      <c r="H5" s="4"/>
      <c r="I5" s="4" t="s">
        <v>152</v>
      </c>
      <c r="J5" s="4"/>
      <c r="K5" s="4"/>
      <c r="L5" s="4" t="s">
        <v>12</v>
      </c>
      <c r="M5" s="4"/>
      <c r="N5" s="4"/>
    </row>
    <row r="6" spans="1:14" ht="18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8" customHeight="1" x14ac:dyDescent="0.25">
      <c r="A7" s="3">
        <f>SUM(Anggaran!H3:H18)</f>
        <v>131000000</v>
      </c>
      <c r="B7" s="3"/>
      <c r="C7" s="3"/>
      <c r="D7" s="3"/>
      <c r="E7" s="3">
        <f>SUM(Realisasi!G3:G46)</f>
        <v>94280056</v>
      </c>
      <c r="F7" s="3"/>
      <c r="G7" s="3"/>
      <c r="H7" s="3"/>
      <c r="I7" s="2">
        <f>IF(B7=0,0,F7/B7)</f>
        <v>0</v>
      </c>
      <c r="J7" s="2"/>
      <c r="K7" s="2"/>
      <c r="L7" s="3">
        <f>COUNTIF('Budget vs Aktual'!I3:I18,"Over Budget")</f>
        <v>9</v>
      </c>
      <c r="M7" s="3"/>
      <c r="N7" s="3"/>
    </row>
    <row r="8" spans="1:14" ht="18" customHeight="1" x14ac:dyDescent="0.25">
      <c r="A8" s="3"/>
      <c r="B8" s="3"/>
      <c r="C8" s="3"/>
      <c r="D8" s="3"/>
      <c r="E8" s="3"/>
      <c r="F8" s="3"/>
      <c r="G8" s="3"/>
      <c r="H8" s="3"/>
      <c r="I8" s="2"/>
      <c r="J8" s="2"/>
      <c r="K8" s="2"/>
      <c r="L8" s="3"/>
      <c r="M8" s="3"/>
      <c r="N8" s="3"/>
    </row>
    <row r="9" spans="1:14" ht="18" customHeight="1" x14ac:dyDescent="0.25">
      <c r="A9" s="3"/>
      <c r="B9" s="3"/>
      <c r="C9" s="3"/>
      <c r="D9" s="3"/>
      <c r="E9" s="3"/>
      <c r="F9" s="3"/>
      <c r="G9" s="3"/>
      <c r="H9" s="3"/>
      <c r="I9" s="2"/>
      <c r="J9" s="2"/>
      <c r="K9" s="2"/>
      <c r="L9" s="3"/>
      <c r="M9" s="3"/>
      <c r="N9" s="3"/>
    </row>
    <row r="10" spans="1:14" ht="18" customHeight="1" x14ac:dyDescent="0.25"/>
    <row r="11" spans="1:14" ht="18" customHeight="1" x14ac:dyDescent="0.25">
      <c r="A11" s="22" t="s">
        <v>153</v>
      </c>
      <c r="B11" s="22"/>
      <c r="C11" s="22"/>
      <c r="D11" s="22"/>
      <c r="E11" s="22"/>
      <c r="J11" s="22" t="s">
        <v>154</v>
      </c>
      <c r="K11" s="22"/>
      <c r="L11" s="22"/>
    </row>
    <row r="12" spans="1:14" ht="18" customHeight="1" x14ac:dyDescent="0.25">
      <c r="A12" s="7" t="s">
        <v>1</v>
      </c>
      <c r="B12" s="7" t="s">
        <v>2</v>
      </c>
      <c r="C12" s="7" t="s">
        <v>3</v>
      </c>
      <c r="D12" s="7" t="s">
        <v>4</v>
      </c>
      <c r="E12" s="7" t="s">
        <v>5</v>
      </c>
      <c r="J12" s="7" t="s">
        <v>6</v>
      </c>
      <c r="K12" s="7" t="s">
        <v>7</v>
      </c>
      <c r="L12" s="7" t="s">
        <v>8</v>
      </c>
    </row>
    <row r="13" spans="1:14" ht="18" customHeight="1" x14ac:dyDescent="0.25">
      <c r="A13" s="8" t="s">
        <v>9</v>
      </c>
      <c r="B13" s="9">
        <f>SUMIF(Anggaran!$B:$B,"IT",Anggaran!$E:$E)</f>
        <v>7000000</v>
      </c>
      <c r="C13" s="9">
        <f>SUMIF(Realisasi!$D:$D,"IT",Realisasi!$G:$G)</f>
        <v>10221505</v>
      </c>
      <c r="D13" s="9">
        <f t="shared" ref="D13:D19" si="0">B13-C13</f>
        <v>-3221505</v>
      </c>
      <c r="E13" s="10">
        <f t="shared" ref="E13:E19" si="1">IF(B13=0,0,C13/B13)</f>
        <v>1.460215</v>
      </c>
      <c r="J13" s="11" t="s">
        <v>10</v>
      </c>
      <c r="K13" s="8">
        <f>COUNTIF('Budget vs Aktual'!I3:I18,"On Track")</f>
        <v>3</v>
      </c>
      <c r="L13" s="10">
        <f>IF(K19=0,0,K13/K19)</f>
        <v>0</v>
      </c>
    </row>
    <row r="14" spans="1:14" ht="18" customHeight="1" x14ac:dyDescent="0.25">
      <c r="A14" s="12" t="s">
        <v>11</v>
      </c>
      <c r="B14" s="13">
        <f>SUMIF(Anggaran!$B:$B,"HR",Anggaran!$E:$E)</f>
        <v>7800000</v>
      </c>
      <c r="C14" s="13">
        <f>SUMIF(Realisasi!$D:$D,"HR",Realisasi!$G:$G)</f>
        <v>9259181</v>
      </c>
      <c r="D14" s="13">
        <f t="shared" si="0"/>
        <v>-1459181</v>
      </c>
      <c r="E14" s="14">
        <f t="shared" si="1"/>
        <v>1.1870744871794872</v>
      </c>
      <c r="J14" s="15" t="s">
        <v>12</v>
      </c>
      <c r="K14" s="12">
        <f>COUNTIF('Budget vs Aktual'!I3:I18,"Over Budget")</f>
        <v>9</v>
      </c>
      <c r="L14" s="14">
        <f>IF(K19=0,0,K14/K19)</f>
        <v>0</v>
      </c>
    </row>
    <row r="15" spans="1:14" ht="18" customHeight="1" x14ac:dyDescent="0.25">
      <c r="A15" s="8" t="s">
        <v>13</v>
      </c>
      <c r="B15" s="9">
        <f>SUMIF(Anggaran!$B:$B,"Finance",Anggaran!$E:$E)</f>
        <v>1200000</v>
      </c>
      <c r="C15" s="9">
        <f>SUMIF(Realisasi!$D:$D,"Finance",Realisasi!$G:$G)</f>
        <v>5178602</v>
      </c>
      <c r="D15" s="9">
        <f t="shared" si="0"/>
        <v>-3978602</v>
      </c>
      <c r="E15" s="10">
        <f t="shared" si="1"/>
        <v>4.315501666666667</v>
      </c>
      <c r="J15" s="16" t="s">
        <v>14</v>
      </c>
      <c r="K15" s="8">
        <f>COUNTIF('Budget vs Aktual'!I3:I18,"Under Utilized")</f>
        <v>3</v>
      </c>
      <c r="L15" s="10">
        <f>IF(K19=0,0,K15/K19)</f>
        <v>0</v>
      </c>
    </row>
    <row r="16" spans="1:14" ht="18" customHeight="1" x14ac:dyDescent="0.25">
      <c r="A16" s="12" t="s">
        <v>15</v>
      </c>
      <c r="B16" s="13">
        <f>SUMIF(Anggaran!$B:$B,"Marketing",Anggaran!$E:$E)</f>
        <v>16000000</v>
      </c>
      <c r="C16" s="13">
        <f>SUMIF(Realisasi!$D:$D,"Marketing",Realisasi!$G:$G)</f>
        <v>35684739</v>
      </c>
      <c r="D16" s="13">
        <f t="shared" si="0"/>
        <v>-19684739</v>
      </c>
      <c r="E16" s="14">
        <f t="shared" si="1"/>
        <v>2.2302961875</v>
      </c>
      <c r="J16" s="17" t="s">
        <v>16</v>
      </c>
      <c r="K16" s="12">
        <f>COUNTIF('Budget vs Aktual'!I3:I18,"Tidak Dianggarkan")</f>
        <v>1</v>
      </c>
      <c r="L16" s="14">
        <f>IF(K19=0,0,K16/K19)</f>
        <v>0</v>
      </c>
    </row>
    <row r="17" spans="1:12" ht="18" customHeight="1" x14ac:dyDescent="0.25">
      <c r="A17" s="8" t="s">
        <v>17</v>
      </c>
      <c r="B17" s="9">
        <f>SUMIF(Anggaran!$B:$B,"Operations",Anggaran!$E:$E)</f>
        <v>9000000</v>
      </c>
      <c r="C17" s="9">
        <f>SUMIF(Realisasi!$D:$D,"Operations",Realisasi!$G:$G)</f>
        <v>25242991</v>
      </c>
      <c r="D17" s="9">
        <f t="shared" si="0"/>
        <v>-16242991</v>
      </c>
      <c r="E17" s="10">
        <f t="shared" si="1"/>
        <v>2.8047767777777777</v>
      </c>
      <c r="J17" s="7" t="s">
        <v>18</v>
      </c>
      <c r="K17" s="7">
        <f>SUM(K13:K16)</f>
        <v>16</v>
      </c>
      <c r="L17" s="23">
        <v>1</v>
      </c>
    </row>
    <row r="18" spans="1:12" ht="18" customHeight="1" x14ac:dyDescent="0.25">
      <c r="A18" s="12" t="s">
        <v>19</v>
      </c>
      <c r="B18" s="13">
        <f>SUMIF(Anggaran!$B:$B,"Umum",Anggaran!$E:$E)</f>
        <v>3000000</v>
      </c>
      <c r="C18" s="13">
        <f>SUMIF(Realisasi!$D:$D,"Umum",Realisasi!$G:$G)</f>
        <v>102973094</v>
      </c>
      <c r="D18" s="13">
        <f t="shared" si="0"/>
        <v>-99973094</v>
      </c>
      <c r="E18" s="14">
        <f t="shared" si="1"/>
        <v>34.324364666666668</v>
      </c>
    </row>
    <row r="19" spans="1:12" ht="18" customHeight="1" x14ac:dyDescent="0.25">
      <c r="A19" s="7" t="s">
        <v>18</v>
      </c>
      <c r="B19" s="18">
        <f>SUM(B13:B18)</f>
        <v>44000000</v>
      </c>
      <c r="C19" s="18">
        <f>SUM(C13:C18)</f>
        <v>188560112</v>
      </c>
      <c r="D19" s="18">
        <f t="shared" si="0"/>
        <v>-144560112</v>
      </c>
      <c r="E19" s="19">
        <f t="shared" si="1"/>
        <v>4.285457090909091</v>
      </c>
    </row>
    <row r="20" spans="1:12" ht="18" customHeight="1" x14ac:dyDescent="0.25"/>
    <row r="21" spans="1:12" ht="18" customHeight="1" x14ac:dyDescent="0.25"/>
    <row r="22" spans="1:12" ht="18" customHeight="1" x14ac:dyDescent="0.25"/>
    <row r="23" spans="1:12" ht="18" customHeight="1" x14ac:dyDescent="0.25"/>
    <row r="24" spans="1:12" ht="18" customHeight="1" x14ac:dyDescent="0.25"/>
    <row r="25" spans="1:12" ht="18" customHeight="1" x14ac:dyDescent="0.25"/>
    <row r="26" spans="1:12" ht="18" customHeight="1" x14ac:dyDescent="0.25"/>
    <row r="27" spans="1:12" ht="18" customHeight="1" x14ac:dyDescent="0.25"/>
    <row r="28" spans="1:12" ht="18" customHeight="1" x14ac:dyDescent="0.25"/>
    <row r="29" spans="1:12" ht="18" customHeight="1" x14ac:dyDescent="0.25"/>
    <row r="30" spans="1:12" ht="18" customHeight="1" x14ac:dyDescent="0.25"/>
    <row r="31" spans="1:12" ht="18" customHeight="1" x14ac:dyDescent="0.25"/>
    <row r="32" spans="1:1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</sheetData>
  <mergeCells count="12">
    <mergeCell ref="A11:E11"/>
    <mergeCell ref="J11:L11"/>
    <mergeCell ref="A7:D9"/>
    <mergeCell ref="E7:H9"/>
    <mergeCell ref="I7:K9"/>
    <mergeCell ref="L7:N9"/>
    <mergeCell ref="A1:N2"/>
    <mergeCell ref="A3:N3"/>
    <mergeCell ref="A5:D6"/>
    <mergeCell ref="E5:H6"/>
    <mergeCell ref="I5:K6"/>
    <mergeCell ref="L5:N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showGridLines="0" zoomScaleNormal="100" workbookViewId="0">
      <pane ySplit="2" topLeftCell="A3" activePane="bottomLeft" state="frozen"/>
      <selection pane="bottomLeft" activeCell="H7" sqref="H7"/>
    </sheetView>
  </sheetViews>
  <sheetFormatPr defaultColWidth="8.7109375" defaultRowHeight="15" x14ac:dyDescent="0.25"/>
  <cols>
    <col min="1" max="2" width="14" customWidth="1"/>
    <col min="3" max="3" width="16" customWidth="1"/>
    <col min="4" max="4" width="32" customWidth="1"/>
    <col min="5" max="5" width="18" customWidth="1"/>
    <col min="6" max="7" width="16" customWidth="1"/>
    <col min="8" max="8" width="18" customWidth="1"/>
  </cols>
  <sheetData>
    <row r="1" spans="1:8" ht="25.5" customHeight="1" x14ac:dyDescent="0.25">
      <c r="A1" s="1" t="s">
        <v>155</v>
      </c>
      <c r="B1" s="1"/>
      <c r="C1" s="1"/>
      <c r="D1" s="1"/>
      <c r="E1" s="1"/>
      <c r="F1" s="1"/>
      <c r="G1" s="1"/>
      <c r="H1" s="1"/>
    </row>
    <row r="2" spans="1:8" ht="25.5" x14ac:dyDescent="0.25">
      <c r="A2" s="7" t="s">
        <v>20</v>
      </c>
      <c r="B2" s="7" t="s">
        <v>1</v>
      </c>
      <c r="C2" s="7" t="s">
        <v>21</v>
      </c>
      <c r="D2" s="7" t="s">
        <v>22</v>
      </c>
      <c r="E2" s="7" t="s">
        <v>23</v>
      </c>
      <c r="F2" s="7" t="s">
        <v>24</v>
      </c>
      <c r="G2" s="7" t="s">
        <v>25</v>
      </c>
      <c r="H2" s="7" t="s">
        <v>26</v>
      </c>
    </row>
    <row r="3" spans="1:8" x14ac:dyDescent="0.25">
      <c r="A3" s="8" t="s">
        <v>27</v>
      </c>
      <c r="B3" s="8" t="s">
        <v>9</v>
      </c>
      <c r="C3" s="8" t="s">
        <v>28</v>
      </c>
      <c r="D3" s="20" t="s">
        <v>29</v>
      </c>
      <c r="E3" s="9">
        <v>2500000</v>
      </c>
      <c r="F3" s="9">
        <v>2500000</v>
      </c>
      <c r="G3" s="9">
        <v>2500000</v>
      </c>
      <c r="H3" s="9">
        <f t="shared" ref="H3:H18" si="0">E3+F3+G3</f>
        <v>7500000</v>
      </c>
    </row>
    <row r="4" spans="1:8" x14ac:dyDescent="0.25">
      <c r="A4" s="12" t="s">
        <v>30</v>
      </c>
      <c r="B4" s="12" t="s">
        <v>9</v>
      </c>
      <c r="C4" s="12" t="s">
        <v>28</v>
      </c>
      <c r="D4" s="21" t="s">
        <v>31</v>
      </c>
      <c r="E4" s="13">
        <v>1500000</v>
      </c>
      <c r="F4" s="13">
        <v>1500000</v>
      </c>
      <c r="G4" s="13">
        <v>1500000</v>
      </c>
      <c r="H4" s="13">
        <f t="shared" si="0"/>
        <v>4500000</v>
      </c>
    </row>
    <row r="5" spans="1:8" x14ac:dyDescent="0.25">
      <c r="A5" s="8" t="s">
        <v>32</v>
      </c>
      <c r="B5" s="8" t="s">
        <v>9</v>
      </c>
      <c r="C5" s="8" t="s">
        <v>33</v>
      </c>
      <c r="D5" s="20" t="s">
        <v>34</v>
      </c>
      <c r="E5" s="9">
        <v>3000000</v>
      </c>
      <c r="F5" s="9">
        <v>0</v>
      </c>
      <c r="G5" s="9">
        <v>3000000</v>
      </c>
      <c r="H5" s="9">
        <f t="shared" si="0"/>
        <v>6000000</v>
      </c>
    </row>
    <row r="6" spans="1:8" x14ac:dyDescent="0.25">
      <c r="A6" s="12" t="s">
        <v>35</v>
      </c>
      <c r="B6" s="12" t="s">
        <v>11</v>
      </c>
      <c r="C6" s="12" t="s">
        <v>36</v>
      </c>
      <c r="D6" s="21" t="s">
        <v>37</v>
      </c>
      <c r="E6" s="13">
        <v>2000000</v>
      </c>
      <c r="F6" s="13">
        <v>2000000</v>
      </c>
      <c r="G6" s="13">
        <v>1000000</v>
      </c>
      <c r="H6" s="13">
        <f t="shared" si="0"/>
        <v>5000000</v>
      </c>
    </row>
    <row r="7" spans="1:8" x14ac:dyDescent="0.25">
      <c r="A7" s="8" t="s">
        <v>38</v>
      </c>
      <c r="B7" s="8" t="s">
        <v>11</v>
      </c>
      <c r="C7" s="8" t="s">
        <v>28</v>
      </c>
      <c r="D7" s="20" t="s">
        <v>39</v>
      </c>
      <c r="E7" s="9">
        <v>800000</v>
      </c>
      <c r="F7" s="9">
        <v>800000</v>
      </c>
      <c r="G7" s="9">
        <v>800000</v>
      </c>
      <c r="H7" s="9">
        <f t="shared" si="0"/>
        <v>2400000</v>
      </c>
    </row>
    <row r="8" spans="1:8" x14ac:dyDescent="0.25">
      <c r="A8" s="12" t="s">
        <v>40</v>
      </c>
      <c r="B8" s="12" t="s">
        <v>11</v>
      </c>
      <c r="C8" s="12" t="s">
        <v>33</v>
      </c>
      <c r="D8" s="21" t="s">
        <v>41</v>
      </c>
      <c r="E8" s="13">
        <v>5000000</v>
      </c>
      <c r="F8" s="13">
        <v>0</v>
      </c>
      <c r="G8" s="13">
        <v>5000000</v>
      </c>
      <c r="H8" s="13">
        <f t="shared" si="0"/>
        <v>10000000</v>
      </c>
    </row>
    <row r="9" spans="1:8" x14ac:dyDescent="0.25">
      <c r="A9" s="8" t="s">
        <v>42</v>
      </c>
      <c r="B9" s="8" t="s">
        <v>13</v>
      </c>
      <c r="C9" s="8" t="s">
        <v>28</v>
      </c>
      <c r="D9" s="20" t="s">
        <v>43</v>
      </c>
      <c r="E9" s="9">
        <v>0</v>
      </c>
      <c r="F9" s="9">
        <v>0</v>
      </c>
      <c r="G9" s="9">
        <v>8000000</v>
      </c>
      <c r="H9" s="9">
        <f t="shared" si="0"/>
        <v>8000000</v>
      </c>
    </row>
    <row r="10" spans="1:8" x14ac:dyDescent="0.25">
      <c r="A10" s="12" t="s">
        <v>44</v>
      </c>
      <c r="B10" s="12" t="s">
        <v>13</v>
      </c>
      <c r="C10" s="12" t="s">
        <v>28</v>
      </c>
      <c r="D10" s="21" t="s">
        <v>45</v>
      </c>
      <c r="E10" s="13">
        <v>1200000</v>
      </c>
      <c r="F10" s="13">
        <v>1200000</v>
      </c>
      <c r="G10" s="13">
        <v>1200000</v>
      </c>
      <c r="H10" s="13">
        <f t="shared" si="0"/>
        <v>3600000</v>
      </c>
    </row>
    <row r="11" spans="1:8" x14ac:dyDescent="0.25">
      <c r="A11" s="8" t="s">
        <v>46</v>
      </c>
      <c r="B11" s="8" t="s">
        <v>15</v>
      </c>
      <c r="C11" s="8" t="s">
        <v>47</v>
      </c>
      <c r="D11" s="20" t="s">
        <v>48</v>
      </c>
      <c r="E11" s="9">
        <v>8000000</v>
      </c>
      <c r="F11" s="9">
        <v>8000000</v>
      </c>
      <c r="G11" s="9">
        <v>8000000</v>
      </c>
      <c r="H11" s="9">
        <f t="shared" si="0"/>
        <v>24000000</v>
      </c>
    </row>
    <row r="12" spans="1:8" x14ac:dyDescent="0.25">
      <c r="A12" s="12" t="s">
        <v>49</v>
      </c>
      <c r="B12" s="12" t="s">
        <v>15</v>
      </c>
      <c r="C12" s="12" t="s">
        <v>47</v>
      </c>
      <c r="D12" s="21" t="s">
        <v>50</v>
      </c>
      <c r="E12" s="13">
        <v>5000000</v>
      </c>
      <c r="F12" s="13">
        <v>0</v>
      </c>
      <c r="G12" s="13">
        <v>10000000</v>
      </c>
      <c r="H12" s="13">
        <f t="shared" si="0"/>
        <v>15000000</v>
      </c>
    </row>
    <row r="13" spans="1:8" x14ac:dyDescent="0.25">
      <c r="A13" s="8" t="s">
        <v>51</v>
      </c>
      <c r="B13" s="8" t="s">
        <v>15</v>
      </c>
      <c r="C13" s="8" t="s">
        <v>28</v>
      </c>
      <c r="D13" s="20" t="s">
        <v>52</v>
      </c>
      <c r="E13" s="9">
        <v>3000000</v>
      </c>
      <c r="F13" s="9">
        <v>3000000</v>
      </c>
      <c r="G13" s="9">
        <v>3000000</v>
      </c>
      <c r="H13" s="9">
        <f t="shared" si="0"/>
        <v>9000000</v>
      </c>
    </row>
    <row r="14" spans="1:8" x14ac:dyDescent="0.25">
      <c r="A14" s="12" t="s">
        <v>53</v>
      </c>
      <c r="B14" s="12" t="s">
        <v>17</v>
      </c>
      <c r="C14" s="12" t="s">
        <v>54</v>
      </c>
      <c r="D14" s="21" t="s">
        <v>55</v>
      </c>
      <c r="E14" s="13">
        <v>4000000</v>
      </c>
      <c r="F14" s="13">
        <v>4000000</v>
      </c>
      <c r="G14" s="13">
        <v>4000000</v>
      </c>
      <c r="H14" s="13">
        <f t="shared" si="0"/>
        <v>12000000</v>
      </c>
    </row>
    <row r="15" spans="1:8" x14ac:dyDescent="0.25">
      <c r="A15" s="8" t="s">
        <v>56</v>
      </c>
      <c r="B15" s="8" t="s">
        <v>17</v>
      </c>
      <c r="C15" s="8" t="s">
        <v>28</v>
      </c>
      <c r="D15" s="20" t="s">
        <v>57</v>
      </c>
      <c r="E15" s="9">
        <v>1500000</v>
      </c>
      <c r="F15" s="9">
        <v>1500000</v>
      </c>
      <c r="G15" s="9">
        <v>1500000</v>
      </c>
      <c r="H15" s="9">
        <f t="shared" si="0"/>
        <v>4500000</v>
      </c>
    </row>
    <row r="16" spans="1:8" x14ac:dyDescent="0.25">
      <c r="A16" s="12" t="s">
        <v>58</v>
      </c>
      <c r="B16" s="12" t="s">
        <v>17</v>
      </c>
      <c r="C16" s="12" t="s">
        <v>28</v>
      </c>
      <c r="D16" s="21" t="s">
        <v>59</v>
      </c>
      <c r="E16" s="13">
        <v>3500000</v>
      </c>
      <c r="F16" s="13">
        <v>3500000</v>
      </c>
      <c r="G16" s="13">
        <v>3500000</v>
      </c>
      <c r="H16" s="13">
        <f t="shared" si="0"/>
        <v>10500000</v>
      </c>
    </row>
    <row r="17" spans="1:8" x14ac:dyDescent="0.25">
      <c r="A17" s="8" t="s">
        <v>60</v>
      </c>
      <c r="B17" s="8" t="s">
        <v>19</v>
      </c>
      <c r="C17" s="8" t="s">
        <v>28</v>
      </c>
      <c r="D17" s="20" t="s">
        <v>61</v>
      </c>
      <c r="E17" s="9">
        <v>2000000</v>
      </c>
      <c r="F17" s="9">
        <v>2000000</v>
      </c>
      <c r="G17" s="9">
        <v>2000000</v>
      </c>
      <c r="H17" s="9">
        <f t="shared" si="0"/>
        <v>6000000</v>
      </c>
    </row>
    <row r="18" spans="1:8" x14ac:dyDescent="0.25">
      <c r="A18" s="12" t="s">
        <v>62</v>
      </c>
      <c r="B18" s="12" t="s">
        <v>19</v>
      </c>
      <c r="C18" s="12" t="s">
        <v>28</v>
      </c>
      <c r="D18" s="21" t="s">
        <v>63</v>
      </c>
      <c r="E18" s="13">
        <v>1000000</v>
      </c>
      <c r="F18" s="13">
        <v>1000000</v>
      </c>
      <c r="G18" s="13">
        <v>1000000</v>
      </c>
      <c r="H18" s="13">
        <f t="shared" si="0"/>
        <v>3000000</v>
      </c>
    </row>
    <row r="19" spans="1:8" x14ac:dyDescent="0.25">
      <c r="A19" s="7" t="s">
        <v>18</v>
      </c>
      <c r="B19" s="7"/>
      <c r="C19" s="7"/>
      <c r="D19" s="7"/>
      <c r="E19" s="18">
        <f>SUM(E3:E18)</f>
        <v>44000000</v>
      </c>
      <c r="F19" s="18">
        <f>SUM(F3:F18)</f>
        <v>31000000</v>
      </c>
      <c r="G19" s="18">
        <f>SUM(G3:G18)</f>
        <v>56000000</v>
      </c>
      <c r="H19" s="18">
        <f>SUM(H3:H18)</f>
        <v>131000000</v>
      </c>
    </row>
  </sheetData>
  <autoFilter ref="A2:H18" xr:uid="{00000000-0009-0000-0000-000001000000}"/>
  <mergeCells count="1">
    <mergeCell ref="A1:H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showGridLines="0" zoomScaleNormal="100" workbookViewId="0">
      <pane ySplit="2" topLeftCell="A3" activePane="bottomLeft" state="frozen"/>
      <selection pane="bottomLeft" activeCell="F7" sqref="F7"/>
    </sheetView>
  </sheetViews>
  <sheetFormatPr defaultColWidth="8.7109375" defaultRowHeight="15" x14ac:dyDescent="0.25"/>
  <cols>
    <col min="1" max="4" width="14" customWidth="1"/>
    <col min="5" max="5" width="16" customWidth="1"/>
    <col min="6" max="6" width="32" customWidth="1"/>
    <col min="7" max="8" width="16" customWidth="1"/>
    <col min="9" max="9" width="22" customWidth="1"/>
  </cols>
  <sheetData>
    <row r="1" spans="1:9" ht="25.5" customHeight="1" x14ac:dyDescent="0.25">
      <c r="A1" s="1" t="s">
        <v>156</v>
      </c>
      <c r="B1" s="1"/>
      <c r="C1" s="1"/>
      <c r="D1" s="1"/>
      <c r="E1" s="1"/>
      <c r="F1" s="1"/>
      <c r="G1" s="1"/>
      <c r="H1" s="1"/>
      <c r="I1" s="1"/>
    </row>
    <row r="2" spans="1:9" ht="25.5" x14ac:dyDescent="0.25">
      <c r="A2" s="7" t="s">
        <v>64</v>
      </c>
      <c r="B2" s="7" t="s">
        <v>65</v>
      </c>
      <c r="C2" s="7" t="s">
        <v>20</v>
      </c>
      <c r="D2" s="7" t="s">
        <v>1</v>
      </c>
      <c r="E2" s="7" t="s">
        <v>66</v>
      </c>
      <c r="F2" s="7" t="s">
        <v>67</v>
      </c>
      <c r="G2" s="7" t="s">
        <v>68</v>
      </c>
      <c r="H2" s="7" t="s">
        <v>69</v>
      </c>
      <c r="I2" s="7" t="s">
        <v>70</v>
      </c>
    </row>
    <row r="3" spans="1:9" x14ac:dyDescent="0.25">
      <c r="A3" s="8" t="s">
        <v>71</v>
      </c>
      <c r="B3" s="8" t="s">
        <v>72</v>
      </c>
      <c r="C3" s="8" t="s">
        <v>42</v>
      </c>
      <c r="D3" s="8" t="str">
        <f>VLOOKUP(C3,Anggaran!$A:$B,2,0)</f>
        <v>Finance</v>
      </c>
      <c r="E3" s="8" t="str">
        <f>VLOOKUP(C3,Anggaran!$A:$C,3,0)</f>
        <v>Operasional</v>
      </c>
      <c r="F3" s="20" t="s">
        <v>43</v>
      </c>
      <c r="G3" s="9">
        <v>1197949</v>
      </c>
      <c r="H3" s="8" t="s">
        <v>73</v>
      </c>
      <c r="I3" s="20" t="s">
        <v>74</v>
      </c>
    </row>
    <row r="4" spans="1:9" x14ac:dyDescent="0.25">
      <c r="A4" s="12" t="s">
        <v>75</v>
      </c>
      <c r="B4" s="12" t="s">
        <v>76</v>
      </c>
      <c r="C4" s="12" t="s">
        <v>27</v>
      </c>
      <c r="D4" s="12" t="str">
        <f>VLOOKUP(C4,Anggaran!$A:$B,2,0)</f>
        <v>IT</v>
      </c>
      <c r="E4" s="12" t="str">
        <f>VLOOKUP(C4,Anggaran!$A:$C,3,0)</f>
        <v>Operasional</v>
      </c>
      <c r="F4" s="21" t="s">
        <v>29</v>
      </c>
      <c r="G4" s="13">
        <v>2158339</v>
      </c>
      <c r="H4" s="12" t="s">
        <v>77</v>
      </c>
      <c r="I4" s="21" t="s">
        <v>78</v>
      </c>
    </row>
    <row r="5" spans="1:9" x14ac:dyDescent="0.25">
      <c r="A5" s="8" t="s">
        <v>79</v>
      </c>
      <c r="B5" s="8" t="s">
        <v>80</v>
      </c>
      <c r="C5" s="8" t="s">
        <v>51</v>
      </c>
      <c r="D5" s="8" t="str">
        <f>VLOOKUP(C5,Anggaran!$A:$B,2,0)</f>
        <v>Marketing</v>
      </c>
      <c r="E5" s="8" t="str">
        <f>VLOOKUP(C5,Anggaran!$A:$C,3,0)</f>
        <v>Operasional</v>
      </c>
      <c r="F5" s="20" t="s">
        <v>52</v>
      </c>
      <c r="G5" s="9">
        <v>2829042</v>
      </c>
      <c r="H5" s="8" t="s">
        <v>73</v>
      </c>
      <c r="I5" s="20" t="s">
        <v>78</v>
      </c>
    </row>
    <row r="6" spans="1:9" x14ac:dyDescent="0.25">
      <c r="A6" s="12" t="s">
        <v>81</v>
      </c>
      <c r="B6" s="12" t="s">
        <v>82</v>
      </c>
      <c r="C6" s="12" t="s">
        <v>35</v>
      </c>
      <c r="D6" s="12" t="str">
        <f>VLOOKUP(C6,Anggaran!$A:$B,2,0)</f>
        <v>HR</v>
      </c>
      <c r="E6" s="12" t="str">
        <f>VLOOKUP(C6,Anggaran!$A:$C,3,0)</f>
        <v>Rekrutmen</v>
      </c>
      <c r="F6" s="21" t="s">
        <v>37</v>
      </c>
      <c r="G6" s="13">
        <v>1888311</v>
      </c>
      <c r="H6" s="12" t="s">
        <v>83</v>
      </c>
      <c r="I6" s="21" t="s">
        <v>78</v>
      </c>
    </row>
    <row r="7" spans="1:9" x14ac:dyDescent="0.25">
      <c r="A7" s="8" t="s">
        <v>84</v>
      </c>
      <c r="B7" s="8" t="s">
        <v>85</v>
      </c>
      <c r="C7" s="8" t="s">
        <v>60</v>
      </c>
      <c r="D7" s="8" t="str">
        <f>VLOOKUP(C7,Anggaran!$A:$B,2,0)</f>
        <v>Umum</v>
      </c>
      <c r="E7" s="8" t="str">
        <f>VLOOKUP(C7,Anggaran!$A:$C,3,0)</f>
        <v>Operasional</v>
      </c>
      <c r="F7" s="20" t="s">
        <v>61</v>
      </c>
      <c r="G7" s="9">
        <v>1610200</v>
      </c>
      <c r="H7" s="8" t="s">
        <v>77</v>
      </c>
      <c r="I7" s="20" t="s">
        <v>78</v>
      </c>
    </row>
    <row r="8" spans="1:9" x14ac:dyDescent="0.25">
      <c r="A8" s="12" t="s">
        <v>86</v>
      </c>
      <c r="B8" s="12" t="s">
        <v>87</v>
      </c>
      <c r="C8" s="12" t="s">
        <v>38</v>
      </c>
      <c r="D8" s="12" t="str">
        <f>VLOOKUP(C8,Anggaran!$A:$B,2,0)</f>
        <v>HR</v>
      </c>
      <c r="E8" s="12" t="str">
        <f>VLOOKUP(C8,Anggaran!$A:$C,3,0)</f>
        <v>Operasional</v>
      </c>
      <c r="F8" s="21" t="s">
        <v>39</v>
      </c>
      <c r="G8" s="13">
        <v>602201</v>
      </c>
      <c r="H8" s="12" t="s">
        <v>88</v>
      </c>
      <c r="I8" s="21" t="s">
        <v>78</v>
      </c>
    </row>
    <row r="9" spans="1:9" x14ac:dyDescent="0.25">
      <c r="A9" s="8" t="s">
        <v>89</v>
      </c>
      <c r="B9" s="8" t="s">
        <v>90</v>
      </c>
      <c r="C9" s="8" t="s">
        <v>51</v>
      </c>
      <c r="D9" s="8" t="str">
        <f>VLOOKUP(C9,Anggaran!$A:$B,2,0)</f>
        <v>Marketing</v>
      </c>
      <c r="E9" s="8" t="str">
        <f>VLOOKUP(C9,Anggaran!$A:$C,3,0)</f>
        <v>Operasional</v>
      </c>
      <c r="F9" s="20" t="s">
        <v>52</v>
      </c>
      <c r="G9" s="9">
        <v>1890486</v>
      </c>
      <c r="H9" s="8" t="s">
        <v>73</v>
      </c>
      <c r="I9" s="20" t="s">
        <v>78</v>
      </c>
    </row>
    <row r="10" spans="1:9" x14ac:dyDescent="0.25">
      <c r="A10" s="12" t="s">
        <v>91</v>
      </c>
      <c r="B10" s="12" t="s">
        <v>90</v>
      </c>
      <c r="C10" s="12" t="s">
        <v>42</v>
      </c>
      <c r="D10" s="12" t="str">
        <f>VLOOKUP(C10,Anggaran!$A:$B,2,0)</f>
        <v>Finance</v>
      </c>
      <c r="E10" s="12" t="str">
        <f>VLOOKUP(C10,Anggaran!$A:$C,3,0)</f>
        <v>Operasional</v>
      </c>
      <c r="F10" s="21" t="s">
        <v>43</v>
      </c>
      <c r="G10" s="13">
        <v>960050</v>
      </c>
      <c r="H10" s="12" t="s">
        <v>73</v>
      </c>
      <c r="I10" s="21" t="s">
        <v>74</v>
      </c>
    </row>
    <row r="11" spans="1:9" x14ac:dyDescent="0.25">
      <c r="A11" s="8" t="s">
        <v>92</v>
      </c>
      <c r="B11" s="8" t="s">
        <v>93</v>
      </c>
      <c r="C11" s="8" t="s">
        <v>27</v>
      </c>
      <c r="D11" s="8" t="str">
        <f>VLOOKUP(C11,Anggaran!$A:$B,2,0)</f>
        <v>IT</v>
      </c>
      <c r="E11" s="8" t="str">
        <f>VLOOKUP(C11,Anggaran!$A:$C,3,0)</f>
        <v>Operasional</v>
      </c>
      <c r="F11" s="20" t="s">
        <v>29</v>
      </c>
      <c r="G11" s="9">
        <v>2734707</v>
      </c>
      <c r="H11" s="8" t="s">
        <v>77</v>
      </c>
      <c r="I11" s="20" t="s">
        <v>74</v>
      </c>
    </row>
    <row r="12" spans="1:9" x14ac:dyDescent="0.25">
      <c r="A12" s="12" t="s">
        <v>94</v>
      </c>
      <c r="B12" s="12" t="s">
        <v>95</v>
      </c>
      <c r="C12" s="12" t="s">
        <v>60</v>
      </c>
      <c r="D12" s="12" t="str">
        <f>VLOOKUP(C12,Anggaran!$A:$B,2,0)</f>
        <v>Umum</v>
      </c>
      <c r="E12" s="12" t="str">
        <f>VLOOKUP(C12,Anggaran!$A:$C,3,0)</f>
        <v>Operasional</v>
      </c>
      <c r="F12" s="21" t="s">
        <v>61</v>
      </c>
      <c r="G12" s="13">
        <v>1983849</v>
      </c>
      <c r="H12" s="12" t="s">
        <v>88</v>
      </c>
      <c r="I12" s="21" t="s">
        <v>78</v>
      </c>
    </row>
    <row r="13" spans="1:9" x14ac:dyDescent="0.25">
      <c r="A13" s="8" t="s">
        <v>96</v>
      </c>
      <c r="B13" s="8" t="s">
        <v>97</v>
      </c>
      <c r="C13" s="8" t="s">
        <v>62</v>
      </c>
      <c r="D13" s="8" t="str">
        <f>VLOOKUP(C13,Anggaran!$A:$B,2,0)</f>
        <v>Umum</v>
      </c>
      <c r="E13" s="8" t="str">
        <f>VLOOKUP(C13,Anggaran!$A:$C,3,0)</f>
        <v>Operasional</v>
      </c>
      <c r="F13" s="20" t="s">
        <v>63</v>
      </c>
      <c r="G13" s="9">
        <v>952679</v>
      </c>
      <c r="H13" s="8" t="s">
        <v>83</v>
      </c>
      <c r="I13" s="20" t="s">
        <v>78</v>
      </c>
    </row>
    <row r="14" spans="1:9" ht="25.5" x14ac:dyDescent="0.25">
      <c r="A14" s="12" t="s">
        <v>98</v>
      </c>
      <c r="B14" s="12" t="s">
        <v>72</v>
      </c>
      <c r="C14" s="12" t="s">
        <v>62</v>
      </c>
      <c r="D14" s="12" t="str">
        <f>VLOOKUP(C14,Anggaran!$A:$B,2,0)</f>
        <v>Umum</v>
      </c>
      <c r="E14" s="12" t="str">
        <f>VLOOKUP(C14,Anggaran!$A:$C,3,0)</f>
        <v>Operasional</v>
      </c>
      <c r="F14" s="21" t="s">
        <v>63</v>
      </c>
      <c r="G14" s="13">
        <v>850619</v>
      </c>
      <c r="H14" s="12" t="s">
        <v>99</v>
      </c>
      <c r="I14" s="21" t="s">
        <v>78</v>
      </c>
    </row>
    <row r="15" spans="1:9" x14ac:dyDescent="0.25">
      <c r="A15" s="8" t="s">
        <v>100</v>
      </c>
      <c r="B15" s="8" t="s">
        <v>101</v>
      </c>
      <c r="C15" s="8" t="s">
        <v>56</v>
      </c>
      <c r="D15" s="8" t="str">
        <f>VLOOKUP(C15,Anggaran!$A:$B,2,0)</f>
        <v>Operations</v>
      </c>
      <c r="E15" s="8" t="str">
        <f>VLOOKUP(C15,Anggaran!$A:$C,3,0)</f>
        <v>Operasional</v>
      </c>
      <c r="F15" s="20" t="s">
        <v>57</v>
      </c>
      <c r="G15" s="9">
        <v>910248</v>
      </c>
      <c r="H15" s="8" t="s">
        <v>73</v>
      </c>
      <c r="I15" s="20" t="s">
        <v>78</v>
      </c>
    </row>
    <row r="16" spans="1:9" x14ac:dyDescent="0.25">
      <c r="A16" s="12" t="s">
        <v>102</v>
      </c>
      <c r="B16" s="12" t="s">
        <v>87</v>
      </c>
      <c r="C16" s="12" t="s">
        <v>49</v>
      </c>
      <c r="D16" s="12" t="str">
        <f>VLOOKUP(C16,Anggaran!$A:$B,2,0)</f>
        <v>Marketing</v>
      </c>
      <c r="E16" s="12" t="str">
        <f>VLOOKUP(C16,Anggaran!$A:$C,3,0)</f>
        <v>Promosi</v>
      </c>
      <c r="F16" s="21" t="s">
        <v>50</v>
      </c>
      <c r="G16" s="13">
        <v>4794807</v>
      </c>
      <c r="H16" s="12" t="s">
        <v>77</v>
      </c>
      <c r="I16" s="21" t="s">
        <v>78</v>
      </c>
    </row>
    <row r="17" spans="1:9" x14ac:dyDescent="0.25">
      <c r="A17" s="8" t="s">
        <v>103</v>
      </c>
      <c r="B17" s="8" t="s">
        <v>80</v>
      </c>
      <c r="C17" s="8" t="s">
        <v>38</v>
      </c>
      <c r="D17" s="8" t="str">
        <f>VLOOKUP(C17,Anggaran!$A:$B,2,0)</f>
        <v>HR</v>
      </c>
      <c r="E17" s="8" t="str">
        <f>VLOOKUP(C17,Anggaran!$A:$C,3,0)</f>
        <v>Operasional</v>
      </c>
      <c r="F17" s="20" t="s">
        <v>39</v>
      </c>
      <c r="G17" s="9">
        <v>521581</v>
      </c>
      <c r="H17" s="8" t="s">
        <v>83</v>
      </c>
      <c r="I17" s="20" t="s">
        <v>78</v>
      </c>
    </row>
    <row r="18" spans="1:9" x14ac:dyDescent="0.25">
      <c r="A18" s="12" t="s">
        <v>104</v>
      </c>
      <c r="B18" s="12" t="s">
        <v>105</v>
      </c>
      <c r="C18" s="12" t="s">
        <v>56</v>
      </c>
      <c r="D18" s="12" t="str">
        <f>VLOOKUP(C18,Anggaran!$A:$B,2,0)</f>
        <v>Operations</v>
      </c>
      <c r="E18" s="12" t="str">
        <f>VLOOKUP(C18,Anggaran!$A:$C,3,0)</f>
        <v>Operasional</v>
      </c>
      <c r="F18" s="21" t="s">
        <v>57</v>
      </c>
      <c r="G18" s="13">
        <v>1114357</v>
      </c>
      <c r="H18" s="12" t="s">
        <v>77</v>
      </c>
      <c r="I18" s="21" t="s">
        <v>78</v>
      </c>
    </row>
    <row r="19" spans="1:9" x14ac:dyDescent="0.25">
      <c r="A19" s="8" t="s">
        <v>106</v>
      </c>
      <c r="B19" s="8" t="s">
        <v>107</v>
      </c>
      <c r="C19" s="8" t="s">
        <v>58</v>
      </c>
      <c r="D19" s="8" t="str">
        <f>VLOOKUP(C19,Anggaran!$A:$B,2,0)</f>
        <v>Operations</v>
      </c>
      <c r="E19" s="8" t="str">
        <f>VLOOKUP(C19,Anggaran!$A:$C,3,0)</f>
        <v>Operasional</v>
      </c>
      <c r="F19" s="20" t="s">
        <v>59</v>
      </c>
      <c r="G19" s="9">
        <v>2739492</v>
      </c>
      <c r="H19" s="8" t="s">
        <v>88</v>
      </c>
      <c r="I19" s="20" t="s">
        <v>78</v>
      </c>
    </row>
    <row r="20" spans="1:9" x14ac:dyDescent="0.25">
      <c r="A20" s="12" t="s">
        <v>108</v>
      </c>
      <c r="B20" s="12" t="s">
        <v>109</v>
      </c>
      <c r="C20" s="12" t="s">
        <v>60</v>
      </c>
      <c r="D20" s="12" t="str">
        <f>VLOOKUP(C20,Anggaran!$A:$B,2,0)</f>
        <v>Umum</v>
      </c>
      <c r="E20" s="12" t="str">
        <f>VLOOKUP(C20,Anggaran!$A:$C,3,0)</f>
        <v>Operasional</v>
      </c>
      <c r="F20" s="21" t="s">
        <v>61</v>
      </c>
      <c r="G20" s="13">
        <v>1905860</v>
      </c>
      <c r="H20" s="12" t="s">
        <v>83</v>
      </c>
      <c r="I20" s="21" t="s">
        <v>78</v>
      </c>
    </row>
    <row r="21" spans="1:9" x14ac:dyDescent="0.25">
      <c r="A21" s="8" t="s">
        <v>110</v>
      </c>
      <c r="B21" s="8" t="s">
        <v>111</v>
      </c>
      <c r="C21" s="8" t="s">
        <v>56</v>
      </c>
      <c r="D21" s="8" t="str">
        <f>VLOOKUP(C21,Anggaran!$A:$B,2,0)</f>
        <v>Operations</v>
      </c>
      <c r="E21" s="8" t="str">
        <f>VLOOKUP(C21,Anggaran!$A:$C,3,0)</f>
        <v>Operasional</v>
      </c>
      <c r="F21" s="20" t="s">
        <v>57</v>
      </c>
      <c r="G21" s="9">
        <v>1018653</v>
      </c>
      <c r="H21" s="8" t="s">
        <v>112</v>
      </c>
      <c r="I21" s="20" t="s">
        <v>78</v>
      </c>
    </row>
    <row r="22" spans="1:9" x14ac:dyDescent="0.25">
      <c r="A22" s="12" t="s">
        <v>113</v>
      </c>
      <c r="B22" s="12" t="s">
        <v>114</v>
      </c>
      <c r="C22" s="12" t="s">
        <v>58</v>
      </c>
      <c r="D22" s="12" t="str">
        <f>VLOOKUP(C22,Anggaran!$A:$B,2,0)</f>
        <v>Operations</v>
      </c>
      <c r="E22" s="12" t="str">
        <f>VLOOKUP(C22,Anggaran!$A:$C,3,0)</f>
        <v>Operasional</v>
      </c>
      <c r="F22" s="21" t="s">
        <v>59</v>
      </c>
      <c r="G22" s="13">
        <v>3008931</v>
      </c>
      <c r="H22" s="12" t="s">
        <v>83</v>
      </c>
      <c r="I22" s="21" t="s">
        <v>78</v>
      </c>
    </row>
    <row r="23" spans="1:9" x14ac:dyDescent="0.25">
      <c r="A23" s="8" t="s">
        <v>115</v>
      </c>
      <c r="B23" s="8" t="s">
        <v>116</v>
      </c>
      <c r="C23" s="8" t="s">
        <v>51</v>
      </c>
      <c r="D23" s="8" t="str">
        <f>VLOOKUP(C23,Anggaran!$A:$B,2,0)</f>
        <v>Marketing</v>
      </c>
      <c r="E23" s="8" t="str">
        <f>VLOOKUP(C23,Anggaran!$A:$C,3,0)</f>
        <v>Operasional</v>
      </c>
      <c r="F23" s="20" t="s">
        <v>52</v>
      </c>
      <c r="G23" s="9">
        <v>2418619</v>
      </c>
      <c r="H23" s="8" t="s">
        <v>88</v>
      </c>
      <c r="I23" s="20" t="s">
        <v>78</v>
      </c>
    </row>
    <row r="24" spans="1:9" x14ac:dyDescent="0.25">
      <c r="A24" s="12" t="s">
        <v>117</v>
      </c>
      <c r="B24" s="12" t="s">
        <v>76</v>
      </c>
      <c r="C24" s="12" t="s">
        <v>49</v>
      </c>
      <c r="D24" s="12" t="str">
        <f>VLOOKUP(C24,Anggaran!$A:$B,2,0)</f>
        <v>Marketing</v>
      </c>
      <c r="E24" s="12" t="str">
        <f>VLOOKUP(C24,Anggaran!$A:$C,3,0)</f>
        <v>Promosi</v>
      </c>
      <c r="F24" s="21" t="s">
        <v>50</v>
      </c>
      <c r="G24" s="13">
        <v>5400164</v>
      </c>
      <c r="H24" s="12" t="s">
        <v>73</v>
      </c>
      <c r="I24" s="21" t="s">
        <v>74</v>
      </c>
    </row>
    <row r="25" spans="1:9" x14ac:dyDescent="0.25">
      <c r="A25" s="8" t="s">
        <v>118</v>
      </c>
      <c r="B25" s="8" t="s">
        <v>93</v>
      </c>
      <c r="C25" s="8" t="s">
        <v>58</v>
      </c>
      <c r="D25" s="8" t="str">
        <f>VLOOKUP(C25,Anggaran!$A:$B,2,0)</f>
        <v>Operations</v>
      </c>
      <c r="E25" s="8" t="str">
        <f>VLOOKUP(C25,Anggaran!$A:$C,3,0)</f>
        <v>Operasional</v>
      </c>
      <c r="F25" s="20" t="s">
        <v>59</v>
      </c>
      <c r="G25" s="9">
        <v>3538493</v>
      </c>
      <c r="H25" s="8" t="s">
        <v>88</v>
      </c>
      <c r="I25" s="20" t="s">
        <v>74</v>
      </c>
    </row>
    <row r="26" spans="1:9" x14ac:dyDescent="0.25">
      <c r="A26" s="12" t="s">
        <v>119</v>
      </c>
      <c r="B26" s="12" t="s">
        <v>120</v>
      </c>
      <c r="C26" s="12" t="s">
        <v>51</v>
      </c>
      <c r="D26" s="12" t="str">
        <f>VLOOKUP(C26,Anggaran!$A:$B,2,0)</f>
        <v>Marketing</v>
      </c>
      <c r="E26" s="12" t="str">
        <f>VLOOKUP(C26,Anggaran!$A:$C,3,0)</f>
        <v>Operasional</v>
      </c>
      <c r="F26" s="21" t="s">
        <v>52</v>
      </c>
      <c r="G26" s="13">
        <v>3272921</v>
      </c>
      <c r="H26" s="12" t="s">
        <v>83</v>
      </c>
      <c r="I26" s="21" t="s">
        <v>74</v>
      </c>
    </row>
    <row r="27" spans="1:9" x14ac:dyDescent="0.25">
      <c r="A27" s="8" t="s">
        <v>121</v>
      </c>
      <c r="B27" s="8" t="s">
        <v>90</v>
      </c>
      <c r="C27" s="8" t="s">
        <v>49</v>
      </c>
      <c r="D27" s="8" t="str">
        <f>VLOOKUP(C27,Anggaran!$A:$B,2,0)</f>
        <v>Marketing</v>
      </c>
      <c r="E27" s="8" t="str">
        <f>VLOOKUP(C27,Anggaran!$A:$C,3,0)</f>
        <v>Promosi</v>
      </c>
      <c r="F27" s="20" t="s">
        <v>50</v>
      </c>
      <c r="G27" s="9">
        <v>3202288</v>
      </c>
      <c r="H27" s="8" t="s">
        <v>88</v>
      </c>
      <c r="I27" s="20" t="s">
        <v>78</v>
      </c>
    </row>
    <row r="28" spans="1:9" x14ac:dyDescent="0.25">
      <c r="A28" s="12" t="s">
        <v>122</v>
      </c>
      <c r="B28" s="12" t="s">
        <v>123</v>
      </c>
      <c r="C28" s="12" t="s">
        <v>49</v>
      </c>
      <c r="D28" s="12" t="str">
        <f>VLOOKUP(C28,Anggaran!$A:$B,2,0)</f>
        <v>Marketing</v>
      </c>
      <c r="E28" s="12" t="str">
        <f>VLOOKUP(C28,Anggaran!$A:$C,3,0)</f>
        <v>Promosi</v>
      </c>
      <c r="F28" s="21" t="s">
        <v>50</v>
      </c>
      <c r="G28" s="13">
        <v>3352888</v>
      </c>
      <c r="H28" s="12" t="s">
        <v>112</v>
      </c>
      <c r="I28" s="21" t="s">
        <v>78</v>
      </c>
    </row>
    <row r="29" spans="1:9" x14ac:dyDescent="0.25">
      <c r="A29" s="8" t="s">
        <v>124</v>
      </c>
      <c r="B29" s="8" t="s">
        <v>125</v>
      </c>
      <c r="C29" s="8" t="s">
        <v>42</v>
      </c>
      <c r="D29" s="8" t="str">
        <f>VLOOKUP(C29,Anggaran!$A:$B,2,0)</f>
        <v>Finance</v>
      </c>
      <c r="E29" s="8" t="str">
        <f>VLOOKUP(C29,Anggaran!$A:$C,3,0)</f>
        <v>Operasional</v>
      </c>
      <c r="F29" s="20" t="s">
        <v>43</v>
      </c>
      <c r="G29" s="9">
        <v>1889326</v>
      </c>
      <c r="H29" s="8" t="s">
        <v>73</v>
      </c>
      <c r="I29" s="20" t="s">
        <v>74</v>
      </c>
    </row>
    <row r="30" spans="1:9" ht="25.5" x14ac:dyDescent="0.25">
      <c r="A30" s="12" t="s">
        <v>126</v>
      </c>
      <c r="B30" s="12" t="s">
        <v>123</v>
      </c>
      <c r="C30" s="12" t="s">
        <v>27</v>
      </c>
      <c r="D30" s="12" t="str">
        <f>VLOOKUP(C30,Anggaran!$A:$B,2,0)</f>
        <v>IT</v>
      </c>
      <c r="E30" s="12" t="str">
        <f>VLOOKUP(C30,Anggaran!$A:$C,3,0)</f>
        <v>Operasional</v>
      </c>
      <c r="F30" s="21" t="s">
        <v>29</v>
      </c>
      <c r="G30" s="13">
        <v>2045349</v>
      </c>
      <c r="H30" s="12" t="s">
        <v>99</v>
      </c>
      <c r="I30" s="21" t="s">
        <v>78</v>
      </c>
    </row>
    <row r="31" spans="1:9" x14ac:dyDescent="0.25">
      <c r="A31" s="8" t="s">
        <v>127</v>
      </c>
      <c r="B31" s="8" t="s">
        <v>93</v>
      </c>
      <c r="C31" s="8" t="s">
        <v>38</v>
      </c>
      <c r="D31" s="8" t="str">
        <f>VLOOKUP(C31,Anggaran!$A:$B,2,0)</f>
        <v>HR</v>
      </c>
      <c r="E31" s="8" t="str">
        <f>VLOOKUP(C31,Anggaran!$A:$C,3,0)</f>
        <v>Operasional</v>
      </c>
      <c r="F31" s="20" t="s">
        <v>39</v>
      </c>
      <c r="G31" s="9">
        <v>736095</v>
      </c>
      <c r="H31" s="8" t="s">
        <v>88</v>
      </c>
      <c r="I31" s="20" t="s">
        <v>78</v>
      </c>
    </row>
    <row r="32" spans="1:9" ht="25.5" x14ac:dyDescent="0.25">
      <c r="A32" s="12" t="s">
        <v>128</v>
      </c>
      <c r="B32" s="12" t="s">
        <v>123</v>
      </c>
      <c r="C32" s="12" t="s">
        <v>38</v>
      </c>
      <c r="D32" s="12" t="str">
        <f>VLOOKUP(C32,Anggaran!$A:$B,2,0)</f>
        <v>HR</v>
      </c>
      <c r="E32" s="12" t="str">
        <f>VLOOKUP(C32,Anggaran!$A:$C,3,0)</f>
        <v>Operasional</v>
      </c>
      <c r="F32" s="21" t="s">
        <v>39</v>
      </c>
      <c r="G32" s="13">
        <v>776897</v>
      </c>
      <c r="H32" s="12" t="s">
        <v>99</v>
      </c>
      <c r="I32" s="21" t="s">
        <v>78</v>
      </c>
    </row>
    <row r="33" spans="1:9" x14ac:dyDescent="0.25">
      <c r="A33" s="8" t="s">
        <v>129</v>
      </c>
      <c r="B33" s="8" t="s">
        <v>130</v>
      </c>
      <c r="C33" s="8" t="s">
        <v>49</v>
      </c>
      <c r="D33" s="8" t="str">
        <f>VLOOKUP(C33,Anggaran!$A:$B,2,0)</f>
        <v>Marketing</v>
      </c>
      <c r="E33" s="8" t="str">
        <f>VLOOKUP(C33,Anggaran!$A:$C,3,0)</f>
        <v>Promosi</v>
      </c>
      <c r="F33" s="20" t="s">
        <v>50</v>
      </c>
      <c r="G33" s="9">
        <v>3224862</v>
      </c>
      <c r="H33" s="8" t="s">
        <v>77</v>
      </c>
      <c r="I33" s="20" t="s">
        <v>78</v>
      </c>
    </row>
    <row r="34" spans="1:9" x14ac:dyDescent="0.25">
      <c r="A34" s="12" t="s">
        <v>131</v>
      </c>
      <c r="B34" s="12" t="s">
        <v>130</v>
      </c>
      <c r="C34" s="12" t="s">
        <v>60</v>
      </c>
      <c r="D34" s="12" t="str">
        <f>VLOOKUP(C34,Anggaran!$A:$B,2,0)</f>
        <v>Umum</v>
      </c>
      <c r="E34" s="12" t="str">
        <f>VLOOKUP(C34,Anggaran!$A:$C,3,0)</f>
        <v>Operasional</v>
      </c>
      <c r="F34" s="21" t="s">
        <v>61</v>
      </c>
      <c r="G34" s="13">
        <v>1389831</v>
      </c>
      <c r="H34" s="12" t="s">
        <v>77</v>
      </c>
      <c r="I34" s="21" t="s">
        <v>78</v>
      </c>
    </row>
    <row r="35" spans="1:9" x14ac:dyDescent="0.25">
      <c r="A35" s="8" t="s">
        <v>132</v>
      </c>
      <c r="B35" s="8" t="s">
        <v>80</v>
      </c>
      <c r="C35" s="8" t="s">
        <v>30</v>
      </c>
      <c r="D35" s="8" t="str">
        <f>VLOOKUP(C35,Anggaran!$A:$B,2,0)</f>
        <v>IT</v>
      </c>
      <c r="E35" s="8" t="str">
        <f>VLOOKUP(C35,Anggaran!$A:$C,3,0)</f>
        <v>Operasional</v>
      </c>
      <c r="F35" s="20" t="s">
        <v>31</v>
      </c>
      <c r="G35" s="9">
        <v>1551392</v>
      </c>
      <c r="H35" s="8" t="s">
        <v>73</v>
      </c>
      <c r="I35" s="20" t="s">
        <v>74</v>
      </c>
    </row>
    <row r="36" spans="1:9" x14ac:dyDescent="0.25">
      <c r="A36" s="12" t="s">
        <v>133</v>
      </c>
      <c r="B36" s="12" t="s">
        <v>107</v>
      </c>
      <c r="C36" s="12" t="s">
        <v>56</v>
      </c>
      <c r="D36" s="12" t="str">
        <f>VLOOKUP(C36,Anggaran!$A:$B,2,0)</f>
        <v>Operations</v>
      </c>
      <c r="E36" s="12" t="str">
        <f>VLOOKUP(C36,Anggaran!$A:$C,3,0)</f>
        <v>Operasional</v>
      </c>
      <c r="F36" s="21" t="s">
        <v>57</v>
      </c>
      <c r="G36" s="13">
        <v>1581500</v>
      </c>
      <c r="H36" s="12" t="s">
        <v>73</v>
      </c>
      <c r="I36" s="21" t="s">
        <v>74</v>
      </c>
    </row>
    <row r="37" spans="1:9" x14ac:dyDescent="0.25">
      <c r="A37" s="8" t="s">
        <v>134</v>
      </c>
      <c r="B37" s="8" t="s">
        <v>135</v>
      </c>
      <c r="C37" s="8" t="s">
        <v>56</v>
      </c>
      <c r="D37" s="8" t="str">
        <f>VLOOKUP(C37,Anggaran!$A:$B,2,0)</f>
        <v>Operations</v>
      </c>
      <c r="E37" s="8" t="str">
        <f>VLOOKUP(C37,Anggaran!$A:$C,3,0)</f>
        <v>Operasional</v>
      </c>
      <c r="F37" s="20" t="s">
        <v>57</v>
      </c>
      <c r="G37" s="9">
        <v>1332265</v>
      </c>
      <c r="H37" s="8" t="s">
        <v>77</v>
      </c>
      <c r="I37" s="20" t="s">
        <v>78</v>
      </c>
    </row>
    <row r="38" spans="1:9" x14ac:dyDescent="0.25">
      <c r="A38" s="12" t="s">
        <v>136</v>
      </c>
      <c r="B38" s="12" t="s">
        <v>72</v>
      </c>
      <c r="C38" s="12" t="s">
        <v>44</v>
      </c>
      <c r="D38" s="12" t="str">
        <f>VLOOKUP(C38,Anggaran!$A:$B,2,0)</f>
        <v>Finance</v>
      </c>
      <c r="E38" s="12" t="str">
        <f>VLOOKUP(C38,Anggaran!$A:$C,3,0)</f>
        <v>Operasional</v>
      </c>
      <c r="F38" s="21" t="s">
        <v>45</v>
      </c>
      <c r="G38" s="13">
        <v>1131277</v>
      </c>
      <c r="H38" s="12" t="s">
        <v>77</v>
      </c>
      <c r="I38" s="21" t="s">
        <v>78</v>
      </c>
    </row>
    <row r="39" spans="1:9" x14ac:dyDescent="0.25">
      <c r="A39" s="8" t="s">
        <v>137</v>
      </c>
      <c r="B39" s="8" t="s">
        <v>120</v>
      </c>
      <c r="C39" s="8" t="s">
        <v>49</v>
      </c>
      <c r="D39" s="8" t="str">
        <f>VLOOKUP(C39,Anggaran!$A:$B,2,0)</f>
        <v>Marketing</v>
      </c>
      <c r="E39" s="8" t="str">
        <f>VLOOKUP(C39,Anggaran!$A:$C,3,0)</f>
        <v>Promosi</v>
      </c>
      <c r="F39" s="20" t="s">
        <v>50</v>
      </c>
      <c r="G39" s="9">
        <v>5298662</v>
      </c>
      <c r="H39" s="8" t="s">
        <v>112</v>
      </c>
      <c r="I39" s="20" t="s">
        <v>74</v>
      </c>
    </row>
    <row r="40" spans="1:9" ht="25.5" x14ac:dyDescent="0.25">
      <c r="A40" s="12" t="s">
        <v>138</v>
      </c>
      <c r="B40" s="12" t="s">
        <v>111</v>
      </c>
      <c r="C40" s="12" t="s">
        <v>56</v>
      </c>
      <c r="D40" s="12" t="str">
        <f>VLOOKUP(C40,Anggaran!$A:$B,2,0)</f>
        <v>Operations</v>
      </c>
      <c r="E40" s="12" t="str">
        <f>VLOOKUP(C40,Anggaran!$A:$C,3,0)</f>
        <v>Operasional</v>
      </c>
      <c r="F40" s="21" t="s">
        <v>57</v>
      </c>
      <c r="G40" s="13">
        <v>1170132</v>
      </c>
      <c r="H40" s="12" t="s">
        <v>99</v>
      </c>
      <c r="I40" s="21" t="s">
        <v>78</v>
      </c>
    </row>
    <row r="41" spans="1:9" x14ac:dyDescent="0.25">
      <c r="A41" s="8" t="s">
        <v>139</v>
      </c>
      <c r="B41" s="8" t="s">
        <v>72</v>
      </c>
      <c r="C41" s="8" t="s">
        <v>56</v>
      </c>
      <c r="D41" s="8" t="str">
        <f>VLOOKUP(C41,Anggaran!$A:$B,2,0)</f>
        <v>Operations</v>
      </c>
      <c r="E41" s="8" t="str">
        <f>VLOOKUP(C41,Anggaran!$A:$C,3,0)</f>
        <v>Operasional</v>
      </c>
      <c r="F41" s="20" t="s">
        <v>57</v>
      </c>
      <c r="G41" s="9">
        <v>1549505</v>
      </c>
      <c r="H41" s="8" t="s">
        <v>83</v>
      </c>
      <c r="I41" s="20" t="s">
        <v>74</v>
      </c>
    </row>
    <row r="42" spans="1:9" x14ac:dyDescent="0.25">
      <c r="A42" s="12" t="s">
        <v>140</v>
      </c>
      <c r="B42" s="12" t="s">
        <v>111</v>
      </c>
      <c r="C42" s="12" t="s">
        <v>56</v>
      </c>
      <c r="D42" s="12" t="str">
        <f>VLOOKUP(C42,Anggaran!$A:$B,2,0)</f>
        <v>Operations</v>
      </c>
      <c r="E42" s="12" t="str">
        <f>VLOOKUP(C42,Anggaran!$A:$C,3,0)</f>
        <v>Operasional</v>
      </c>
      <c r="F42" s="21" t="s">
        <v>57</v>
      </c>
      <c r="G42" s="13">
        <v>1019361</v>
      </c>
      <c r="H42" s="12" t="s">
        <v>73</v>
      </c>
      <c r="I42" s="21" t="s">
        <v>78</v>
      </c>
    </row>
    <row r="43" spans="1:9" ht="25.5" x14ac:dyDescent="0.25">
      <c r="A43" s="8" t="s">
        <v>141</v>
      </c>
      <c r="B43" s="8" t="s">
        <v>142</v>
      </c>
      <c r="C43" s="8" t="s">
        <v>40</v>
      </c>
      <c r="D43" s="8" t="str">
        <f>VLOOKUP(C43,Anggaran!$A:$B,2,0)</f>
        <v>HR</v>
      </c>
      <c r="E43" s="8" t="str">
        <f>VLOOKUP(C43,Anggaran!$A:$C,3,0)</f>
        <v>Pengembangan</v>
      </c>
      <c r="F43" s="20" t="s">
        <v>41</v>
      </c>
      <c r="G43" s="9">
        <v>4734096</v>
      </c>
      <c r="H43" s="8" t="s">
        <v>99</v>
      </c>
      <c r="I43" s="20" t="s">
        <v>78</v>
      </c>
    </row>
    <row r="44" spans="1:9" x14ac:dyDescent="0.25">
      <c r="A44" s="12" t="s">
        <v>143</v>
      </c>
      <c r="B44" s="12" t="s">
        <v>111</v>
      </c>
      <c r="C44" s="12" t="s">
        <v>58</v>
      </c>
      <c r="D44" s="12" t="str">
        <f>VLOOKUP(C44,Anggaran!$A:$B,2,0)</f>
        <v>Operations</v>
      </c>
      <c r="E44" s="12" t="str">
        <f>VLOOKUP(C44,Anggaran!$A:$C,3,0)</f>
        <v>Operasional</v>
      </c>
      <c r="F44" s="21" t="s">
        <v>59</v>
      </c>
      <c r="G44" s="13">
        <v>3800396</v>
      </c>
      <c r="H44" s="12" t="s">
        <v>77</v>
      </c>
      <c r="I44" s="21" t="s">
        <v>74</v>
      </c>
    </row>
    <row r="45" spans="1:9" x14ac:dyDescent="0.25">
      <c r="A45" s="8" t="s">
        <v>144</v>
      </c>
      <c r="B45" s="8" t="s">
        <v>114</v>
      </c>
      <c r="C45" s="8" t="s">
        <v>58</v>
      </c>
      <c r="D45" s="8" t="str">
        <f>VLOOKUP(C45,Anggaran!$A:$B,2,0)</f>
        <v>Operations</v>
      </c>
      <c r="E45" s="8" t="str">
        <f>VLOOKUP(C45,Anggaran!$A:$C,3,0)</f>
        <v>Operasional</v>
      </c>
      <c r="F45" s="20" t="s">
        <v>59</v>
      </c>
      <c r="G45" s="9">
        <v>2459658</v>
      </c>
      <c r="H45" s="8" t="s">
        <v>112</v>
      </c>
      <c r="I45" s="20" t="s">
        <v>78</v>
      </c>
    </row>
    <row r="46" spans="1:9" x14ac:dyDescent="0.25">
      <c r="A46" s="12" t="s">
        <v>145</v>
      </c>
      <c r="B46" s="12" t="s">
        <v>101</v>
      </c>
      <c r="C46" s="12" t="s">
        <v>27</v>
      </c>
      <c r="D46" s="12" t="str">
        <f>VLOOKUP(C46,Anggaran!$A:$B,2,0)</f>
        <v>IT</v>
      </c>
      <c r="E46" s="12" t="str">
        <f>VLOOKUP(C46,Anggaran!$A:$C,3,0)</f>
        <v>Operasional</v>
      </c>
      <c r="F46" s="21" t="s">
        <v>29</v>
      </c>
      <c r="G46" s="13">
        <v>1731718</v>
      </c>
      <c r="H46" s="12" t="s">
        <v>88</v>
      </c>
      <c r="I46" s="21" t="s">
        <v>78</v>
      </c>
    </row>
    <row r="47" spans="1:9" ht="25.5" x14ac:dyDescent="0.25">
      <c r="A47" s="7" t="s">
        <v>18</v>
      </c>
      <c r="B47" s="7" t="s">
        <v>97</v>
      </c>
      <c r="C47" s="7" t="s">
        <v>60</v>
      </c>
      <c r="D47" s="7" t="str">
        <f>VLOOKUP(C47,Anggaran!$A:$B,2,0)</f>
        <v>Umum</v>
      </c>
      <c r="E47" s="7" t="str">
        <f>VLOOKUP(C47,Anggaran!$A:$C,3,0)</f>
        <v>Operasional</v>
      </c>
      <c r="F47" s="7" t="s">
        <v>61</v>
      </c>
      <c r="G47" s="18">
        <f>SUM(G3:G46)</f>
        <v>94280056</v>
      </c>
      <c r="H47" s="7" t="s">
        <v>112</v>
      </c>
      <c r="I47" s="7" t="s">
        <v>78</v>
      </c>
    </row>
  </sheetData>
  <autoFilter ref="A2:I46" xr:uid="{00000000-0009-0000-0000-000002000000}"/>
  <mergeCells count="1">
    <mergeCell ref="A1:I1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showGridLines="0" tabSelected="1" zoomScaleNormal="100" workbookViewId="0">
      <pane ySplit="2" topLeftCell="A3" activePane="bottomLeft" state="frozen"/>
      <selection pane="bottomLeft" activeCell="E12" sqref="E12"/>
    </sheetView>
  </sheetViews>
  <sheetFormatPr defaultColWidth="8.7109375" defaultRowHeight="15" x14ac:dyDescent="0.25"/>
  <cols>
    <col min="1" max="2" width="14" customWidth="1"/>
    <col min="3" max="3" width="16" customWidth="1"/>
    <col min="4" max="4" width="32" customWidth="1"/>
    <col min="5" max="5" width="20" customWidth="1"/>
    <col min="6" max="6" width="18" customWidth="1"/>
    <col min="7" max="7" width="16" customWidth="1"/>
    <col min="8" max="8" width="14" customWidth="1"/>
    <col min="9" max="9" width="18" customWidth="1"/>
  </cols>
  <sheetData>
    <row r="1" spans="1:9" ht="25.5" customHeight="1" x14ac:dyDescent="0.25">
      <c r="A1" s="1" t="s">
        <v>157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7" t="s">
        <v>146</v>
      </c>
      <c r="B2" s="7" t="s">
        <v>1</v>
      </c>
      <c r="C2" s="7" t="s">
        <v>66</v>
      </c>
      <c r="D2" s="7" t="s">
        <v>22</v>
      </c>
      <c r="E2" s="7" t="s">
        <v>2</v>
      </c>
      <c r="F2" s="7" t="s">
        <v>3</v>
      </c>
      <c r="G2" s="7" t="s">
        <v>4</v>
      </c>
      <c r="H2" s="7" t="s">
        <v>147</v>
      </c>
      <c r="I2" s="7" t="s">
        <v>6</v>
      </c>
    </row>
    <row r="3" spans="1:9" x14ac:dyDescent="0.25">
      <c r="A3" s="8" t="s">
        <v>27</v>
      </c>
      <c r="B3" s="8" t="s">
        <v>9</v>
      </c>
      <c r="C3" s="8" t="s">
        <v>28</v>
      </c>
      <c r="D3" s="20" t="s">
        <v>29</v>
      </c>
      <c r="E3" s="9">
        <f>VLOOKUP(A3,Anggaran!$A:$E,5,0)</f>
        <v>2500000</v>
      </c>
      <c r="F3" s="9">
        <f>SUMIF(Realisasi!$C:$C,A3,Realisasi!$G:$G)</f>
        <v>8670113</v>
      </c>
      <c r="G3" s="9">
        <f t="shared" ref="G3:G18" si="0">E3-F3</f>
        <v>-6170113</v>
      </c>
      <c r="H3" s="10">
        <f t="shared" ref="H3:H18" si="1">IF(E3=0,0,F3/E3)</f>
        <v>3.4680452000000002</v>
      </c>
      <c r="I3" s="8" t="str">
        <f t="shared" ref="I3:I18" si="2">IF(E3=0,"Tidak Dianggarkan",IF(F3&gt;E3,"Over Budget",IF(F3&gt;=E3*0.8,"On Track","Under Utilized")))</f>
        <v>Over Budget</v>
      </c>
    </row>
    <row r="4" spans="1:9" x14ac:dyDescent="0.25">
      <c r="A4" s="12" t="s">
        <v>30</v>
      </c>
      <c r="B4" s="12" t="s">
        <v>9</v>
      </c>
      <c r="C4" s="12" t="s">
        <v>28</v>
      </c>
      <c r="D4" s="21" t="s">
        <v>31</v>
      </c>
      <c r="E4" s="13">
        <f>VLOOKUP(A4,Anggaran!$A:$E,5,0)</f>
        <v>1500000</v>
      </c>
      <c r="F4" s="13">
        <f>SUMIF(Realisasi!$C:$C,A4,Realisasi!$G:$G)</f>
        <v>1551392</v>
      </c>
      <c r="G4" s="13">
        <f t="shared" si="0"/>
        <v>-51392</v>
      </c>
      <c r="H4" s="14">
        <f t="shared" si="1"/>
        <v>1.0342613333333333</v>
      </c>
      <c r="I4" s="12" t="str">
        <f t="shared" si="2"/>
        <v>Over Budget</v>
      </c>
    </row>
    <row r="5" spans="1:9" x14ac:dyDescent="0.25">
      <c r="A5" s="8" t="s">
        <v>32</v>
      </c>
      <c r="B5" s="8" t="s">
        <v>9</v>
      </c>
      <c r="C5" s="8" t="s">
        <v>33</v>
      </c>
      <c r="D5" s="20" t="s">
        <v>34</v>
      </c>
      <c r="E5" s="9">
        <f>VLOOKUP(A5,Anggaran!$A:$E,5,0)</f>
        <v>3000000</v>
      </c>
      <c r="F5" s="9">
        <f>SUMIF(Realisasi!$C:$C,A5,Realisasi!$G:$G)</f>
        <v>0</v>
      </c>
      <c r="G5" s="9">
        <f t="shared" si="0"/>
        <v>3000000</v>
      </c>
      <c r="H5" s="10">
        <f t="shared" si="1"/>
        <v>0</v>
      </c>
      <c r="I5" s="8" t="str">
        <f t="shared" si="2"/>
        <v>Under Utilized</v>
      </c>
    </row>
    <row r="6" spans="1:9" x14ac:dyDescent="0.25">
      <c r="A6" s="12" t="s">
        <v>35</v>
      </c>
      <c r="B6" s="12" t="s">
        <v>11</v>
      </c>
      <c r="C6" s="12" t="s">
        <v>36</v>
      </c>
      <c r="D6" s="21" t="s">
        <v>37</v>
      </c>
      <c r="E6" s="13">
        <f>VLOOKUP(A6,Anggaran!$A:$E,5,0)</f>
        <v>2000000</v>
      </c>
      <c r="F6" s="13">
        <f>SUMIF(Realisasi!$C:$C,A6,Realisasi!$G:$G)</f>
        <v>1888311</v>
      </c>
      <c r="G6" s="13">
        <f t="shared" si="0"/>
        <v>111689</v>
      </c>
      <c r="H6" s="14">
        <f t="shared" si="1"/>
        <v>0.94415550000000004</v>
      </c>
      <c r="I6" s="12" t="str">
        <f t="shared" si="2"/>
        <v>On Track</v>
      </c>
    </row>
    <row r="7" spans="1:9" x14ac:dyDescent="0.25">
      <c r="A7" s="8" t="s">
        <v>38</v>
      </c>
      <c r="B7" s="8" t="s">
        <v>11</v>
      </c>
      <c r="C7" s="8" t="s">
        <v>28</v>
      </c>
      <c r="D7" s="20" t="s">
        <v>39</v>
      </c>
      <c r="E7" s="9">
        <f>VLOOKUP(A7,Anggaran!$A:$E,5,0)</f>
        <v>800000</v>
      </c>
      <c r="F7" s="9">
        <f>SUMIF(Realisasi!$C:$C,A7,Realisasi!$G:$G)</f>
        <v>2636774</v>
      </c>
      <c r="G7" s="9">
        <f t="shared" si="0"/>
        <v>-1836774</v>
      </c>
      <c r="H7" s="10">
        <f t="shared" si="1"/>
        <v>3.2959675000000002</v>
      </c>
      <c r="I7" s="8" t="str">
        <f t="shared" si="2"/>
        <v>Over Budget</v>
      </c>
    </row>
    <row r="8" spans="1:9" x14ac:dyDescent="0.25">
      <c r="A8" s="12" t="s">
        <v>40</v>
      </c>
      <c r="B8" s="12" t="s">
        <v>11</v>
      </c>
      <c r="C8" s="12" t="s">
        <v>33</v>
      </c>
      <c r="D8" s="21" t="s">
        <v>41</v>
      </c>
      <c r="E8" s="13">
        <f>VLOOKUP(A8,Anggaran!$A:$E,5,0)</f>
        <v>5000000</v>
      </c>
      <c r="F8" s="13">
        <f>SUMIF(Realisasi!$C:$C,A8,Realisasi!$G:$G)</f>
        <v>4734096</v>
      </c>
      <c r="G8" s="13">
        <f t="shared" si="0"/>
        <v>265904</v>
      </c>
      <c r="H8" s="14">
        <f t="shared" si="1"/>
        <v>0.94681919999999997</v>
      </c>
      <c r="I8" s="12" t="str">
        <f t="shared" si="2"/>
        <v>On Track</v>
      </c>
    </row>
    <row r="9" spans="1:9" x14ac:dyDescent="0.25">
      <c r="A9" s="8" t="s">
        <v>42</v>
      </c>
      <c r="B9" s="8" t="s">
        <v>13</v>
      </c>
      <c r="C9" s="8" t="s">
        <v>28</v>
      </c>
      <c r="D9" s="20" t="s">
        <v>43</v>
      </c>
      <c r="E9" s="9">
        <f>VLOOKUP(A9,Anggaran!$A:$E,5,0)</f>
        <v>0</v>
      </c>
      <c r="F9" s="9">
        <f>SUMIF(Realisasi!$C:$C,A9,Realisasi!$G:$G)</f>
        <v>4047325</v>
      </c>
      <c r="G9" s="9">
        <f t="shared" si="0"/>
        <v>-4047325</v>
      </c>
      <c r="H9" s="10">
        <f t="shared" si="1"/>
        <v>0</v>
      </c>
      <c r="I9" s="8" t="str">
        <f t="shared" si="2"/>
        <v>Tidak Dianggarkan</v>
      </c>
    </row>
    <row r="10" spans="1:9" x14ac:dyDescent="0.25">
      <c r="A10" s="12" t="s">
        <v>44</v>
      </c>
      <c r="B10" s="12" t="s">
        <v>13</v>
      </c>
      <c r="C10" s="12" t="s">
        <v>28</v>
      </c>
      <c r="D10" s="21" t="s">
        <v>45</v>
      </c>
      <c r="E10" s="13">
        <f>VLOOKUP(A10,Anggaran!$A:$E,5,0)</f>
        <v>1200000</v>
      </c>
      <c r="F10" s="13">
        <f>SUMIF(Realisasi!$C:$C,A10,Realisasi!$G:$G)</f>
        <v>1131277</v>
      </c>
      <c r="G10" s="13">
        <f t="shared" si="0"/>
        <v>68723</v>
      </c>
      <c r="H10" s="14">
        <f t="shared" si="1"/>
        <v>0.9427308333333333</v>
      </c>
      <c r="I10" s="12" t="str">
        <f t="shared" si="2"/>
        <v>On Track</v>
      </c>
    </row>
    <row r="11" spans="1:9" x14ac:dyDescent="0.25">
      <c r="A11" s="8" t="s">
        <v>46</v>
      </c>
      <c r="B11" s="8" t="s">
        <v>15</v>
      </c>
      <c r="C11" s="8" t="s">
        <v>47</v>
      </c>
      <c r="D11" s="20" t="s">
        <v>48</v>
      </c>
      <c r="E11" s="9">
        <f>VLOOKUP(A11,Anggaran!$A:$E,5,0)</f>
        <v>8000000</v>
      </c>
      <c r="F11" s="9">
        <f>SUMIF(Realisasi!$C:$C,A11,Realisasi!$G:$G)</f>
        <v>0</v>
      </c>
      <c r="G11" s="9">
        <f t="shared" si="0"/>
        <v>8000000</v>
      </c>
      <c r="H11" s="10">
        <f t="shared" si="1"/>
        <v>0</v>
      </c>
      <c r="I11" s="8" t="str">
        <f t="shared" si="2"/>
        <v>Under Utilized</v>
      </c>
    </row>
    <row r="12" spans="1:9" x14ac:dyDescent="0.25">
      <c r="A12" s="12" t="s">
        <v>49</v>
      </c>
      <c r="B12" s="12" t="s">
        <v>15</v>
      </c>
      <c r="C12" s="12" t="s">
        <v>47</v>
      </c>
      <c r="D12" s="21" t="s">
        <v>50</v>
      </c>
      <c r="E12" s="13">
        <f>VLOOKUP(A12,Anggaran!$A:$E,5,0)</f>
        <v>5000000</v>
      </c>
      <c r="F12" s="13">
        <f>SUMIF(Realisasi!$C:$C,A12,Realisasi!$G:$G)</f>
        <v>25273671</v>
      </c>
      <c r="G12" s="13">
        <f t="shared" si="0"/>
        <v>-20273671</v>
      </c>
      <c r="H12" s="14">
        <f t="shared" si="1"/>
        <v>5.0547342000000004</v>
      </c>
      <c r="I12" s="12" t="str">
        <f t="shared" si="2"/>
        <v>Over Budget</v>
      </c>
    </row>
    <row r="13" spans="1:9" x14ac:dyDescent="0.25">
      <c r="A13" s="8" t="s">
        <v>51</v>
      </c>
      <c r="B13" s="8" t="s">
        <v>15</v>
      </c>
      <c r="C13" s="8" t="s">
        <v>28</v>
      </c>
      <c r="D13" s="20" t="s">
        <v>52</v>
      </c>
      <c r="E13" s="9">
        <f>VLOOKUP(A13,Anggaran!$A:$E,5,0)</f>
        <v>3000000</v>
      </c>
      <c r="F13" s="9">
        <f>SUMIF(Realisasi!$C:$C,A13,Realisasi!$G:$G)</f>
        <v>10411068</v>
      </c>
      <c r="G13" s="9">
        <f t="shared" si="0"/>
        <v>-7411068</v>
      </c>
      <c r="H13" s="10">
        <f t="shared" si="1"/>
        <v>3.4703560000000002</v>
      </c>
      <c r="I13" s="8" t="str">
        <f t="shared" si="2"/>
        <v>Over Budget</v>
      </c>
    </row>
    <row r="14" spans="1:9" x14ac:dyDescent="0.25">
      <c r="A14" s="12" t="s">
        <v>53</v>
      </c>
      <c r="B14" s="12" t="s">
        <v>17</v>
      </c>
      <c r="C14" s="12" t="s">
        <v>54</v>
      </c>
      <c r="D14" s="21" t="s">
        <v>55</v>
      </c>
      <c r="E14" s="13">
        <f>VLOOKUP(A14,Anggaran!$A:$E,5,0)</f>
        <v>4000000</v>
      </c>
      <c r="F14" s="13">
        <f>SUMIF(Realisasi!$C:$C,A14,Realisasi!$G:$G)</f>
        <v>0</v>
      </c>
      <c r="G14" s="13">
        <f t="shared" si="0"/>
        <v>4000000</v>
      </c>
      <c r="H14" s="14">
        <f t="shared" si="1"/>
        <v>0</v>
      </c>
      <c r="I14" s="12" t="str">
        <f t="shared" si="2"/>
        <v>Under Utilized</v>
      </c>
    </row>
    <row r="15" spans="1:9" x14ac:dyDescent="0.25">
      <c r="A15" s="8" t="s">
        <v>56</v>
      </c>
      <c r="B15" s="8" t="s">
        <v>17</v>
      </c>
      <c r="C15" s="8" t="s">
        <v>28</v>
      </c>
      <c r="D15" s="20" t="s">
        <v>57</v>
      </c>
      <c r="E15" s="9">
        <f>VLOOKUP(A15,Anggaran!$A:$E,5,0)</f>
        <v>1500000</v>
      </c>
      <c r="F15" s="9">
        <f>SUMIF(Realisasi!$C:$C,A15,Realisasi!$G:$G)</f>
        <v>9696021</v>
      </c>
      <c r="G15" s="9">
        <f t="shared" si="0"/>
        <v>-8196021</v>
      </c>
      <c r="H15" s="10">
        <f t="shared" si="1"/>
        <v>6.4640139999999997</v>
      </c>
      <c r="I15" s="8" t="str">
        <f t="shared" si="2"/>
        <v>Over Budget</v>
      </c>
    </row>
    <row r="16" spans="1:9" x14ac:dyDescent="0.25">
      <c r="A16" s="12" t="s">
        <v>58</v>
      </c>
      <c r="B16" s="12" t="s">
        <v>17</v>
      </c>
      <c r="C16" s="12" t="s">
        <v>28</v>
      </c>
      <c r="D16" s="21" t="s">
        <v>59</v>
      </c>
      <c r="E16" s="13">
        <f>VLOOKUP(A16,Anggaran!$A:$E,5,0)</f>
        <v>3500000</v>
      </c>
      <c r="F16" s="13">
        <f>SUMIF(Realisasi!$C:$C,A16,Realisasi!$G:$G)</f>
        <v>15546970</v>
      </c>
      <c r="G16" s="13">
        <f t="shared" si="0"/>
        <v>-12046970</v>
      </c>
      <c r="H16" s="14">
        <f t="shared" si="1"/>
        <v>4.4419914285714288</v>
      </c>
      <c r="I16" s="12" t="str">
        <f t="shared" si="2"/>
        <v>Over Budget</v>
      </c>
    </row>
    <row r="17" spans="1:9" x14ac:dyDescent="0.25">
      <c r="A17" s="8" t="s">
        <v>60</v>
      </c>
      <c r="B17" s="8" t="s">
        <v>19</v>
      </c>
      <c r="C17" s="8" t="s">
        <v>28</v>
      </c>
      <c r="D17" s="20" t="s">
        <v>61</v>
      </c>
      <c r="E17" s="9">
        <f>VLOOKUP(A17,Anggaran!$A:$E,5,0)</f>
        <v>2000000</v>
      </c>
      <c r="F17" s="9">
        <f>SUMIF(Realisasi!$C:$C,A17,Realisasi!$G:$G)</f>
        <v>101169796</v>
      </c>
      <c r="G17" s="9">
        <f t="shared" si="0"/>
        <v>-99169796</v>
      </c>
      <c r="H17" s="10">
        <f t="shared" si="1"/>
        <v>50.584898000000003</v>
      </c>
      <c r="I17" s="8" t="str">
        <f t="shared" si="2"/>
        <v>Over Budget</v>
      </c>
    </row>
    <row r="18" spans="1:9" x14ac:dyDescent="0.25">
      <c r="A18" s="12" t="s">
        <v>62</v>
      </c>
      <c r="B18" s="12" t="s">
        <v>19</v>
      </c>
      <c r="C18" s="12" t="s">
        <v>28</v>
      </c>
      <c r="D18" s="21" t="s">
        <v>63</v>
      </c>
      <c r="E18" s="13">
        <f>VLOOKUP(A18,Anggaran!$A:$E,5,0)</f>
        <v>1000000</v>
      </c>
      <c r="F18" s="13">
        <f>SUMIF(Realisasi!$C:$C,A18,Realisasi!$G:$G)</f>
        <v>1803298</v>
      </c>
      <c r="G18" s="13">
        <f t="shared" si="0"/>
        <v>-803298</v>
      </c>
      <c r="H18" s="14">
        <f t="shared" si="1"/>
        <v>1.8032980000000001</v>
      </c>
      <c r="I18" s="12" t="str">
        <f t="shared" si="2"/>
        <v>Over Budget</v>
      </c>
    </row>
    <row r="20" spans="1:9" x14ac:dyDescent="0.25">
      <c r="A20" s="7" t="s">
        <v>18</v>
      </c>
      <c r="B20" s="7"/>
      <c r="C20" s="7"/>
      <c r="D20" s="7"/>
      <c r="E20" s="18">
        <f>SUM(E3:E19)</f>
        <v>44000000</v>
      </c>
      <c r="F20" s="18">
        <f>SUM(F3:F19)</f>
        <v>188560112</v>
      </c>
      <c r="G20" s="18">
        <f>E20-F20</f>
        <v>-144560112</v>
      </c>
      <c r="H20" s="19">
        <f>IF(E20=0,0,F20/E20)</f>
        <v>4.285457090909091</v>
      </c>
      <c r="I20" s="7" t="s">
        <v>148</v>
      </c>
    </row>
  </sheetData>
  <autoFilter ref="A2:I19" xr:uid="{00000000-0009-0000-0000-000003000000}"/>
  <mergeCells count="1">
    <mergeCell ref="A1:I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Dashboard</vt:lpstr>
      <vt:lpstr>Anggaran</vt:lpstr>
      <vt:lpstr>Realisasi</vt:lpstr>
      <vt:lpstr>Budget vs Aktual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Rifky</dc:creator>
  <dc:description/>
  <cp:lastModifiedBy>RIFKY MARDIANSYAH</cp:lastModifiedBy>
  <cp:revision>0</cp:revision>
  <dcterms:created xsi:type="dcterms:W3CDTF">2026-04-23T00:26:48Z</dcterms:created>
  <dcterms:modified xsi:type="dcterms:W3CDTF">2026-04-23T16:25:16Z</dcterms:modified>
  <dc:language>en-US</dc:language>
</cp:coreProperties>
</file>